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7930" windowHeight="7020"/>
  </bookViews>
  <sheets>
    <sheet name="Sheet1" sheetId="1" r:id="rId1"/>
    <sheet name="Sheet2" sheetId="2" r:id="rId2"/>
    <sheet name="Sheet3" sheetId="3" r:id="rId3"/>
  </sheets>
  <definedNames>
    <definedName name="_xlnm._FilterDatabase" localSheetId="0" hidden="1">Sheet1!$A$1:$L$269</definedName>
  </definedNames>
  <calcPr calcId="144525"/>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BED5659060104F9DA67E873227B2D12E" descr="对检查中发现的事故隐患的责令排除，对重大事故隐患排除前或者排"/>
        <xdr:cNvPicPr/>
      </xdr:nvPicPr>
      <xdr:blipFill>
        <a:blip r:embed="rId1"/>
        <a:stretch>
          <a:fillRect/>
        </a:stretch>
      </xdr:blipFill>
      <xdr:spPr>
        <a:xfrm>
          <a:off x="0" y="0"/>
          <a:ext cx="4981575" cy="10057765"/>
        </a:xfrm>
        <a:prstGeom prst="rect">
          <a:avLst/>
        </a:prstGeom>
      </xdr:spPr>
    </xdr:pic>
  </etc:cellImage>
  <etc:cellImage>
    <xdr:pic>
      <xdr:nvPicPr>
        <xdr:cNvPr id="4" name="ID_71B93D41BF014CAAAB2FAEBCB95510ED" descr="对有根据认为不符合保障安全生产的国家标准或者行业标准的设施、"/>
        <xdr:cNvPicPr/>
      </xdr:nvPicPr>
      <xdr:blipFill>
        <a:blip r:embed="rId2"/>
        <a:stretch>
          <a:fillRect/>
        </a:stretch>
      </xdr:blipFill>
      <xdr:spPr>
        <a:xfrm>
          <a:off x="0" y="0"/>
          <a:ext cx="4981575" cy="10057765"/>
        </a:xfrm>
        <a:prstGeom prst="rect">
          <a:avLst/>
        </a:prstGeom>
      </xdr:spPr>
    </xdr:pic>
  </etc:cellImage>
  <etc:cellImage>
    <xdr:pic>
      <xdr:nvPicPr>
        <xdr:cNvPr id="6" name="ID_354110A9586E4920BB2CD5A0307472D8" descr="对拒不执行安监指令，有发生安全事故的现实危险的生产经营单位实"/>
        <xdr:cNvPicPr/>
      </xdr:nvPicPr>
      <xdr:blipFill>
        <a:blip r:embed="rId3"/>
        <a:stretch>
          <a:fillRect/>
        </a:stretch>
      </xdr:blipFill>
      <xdr:spPr>
        <a:xfrm>
          <a:off x="0" y="0"/>
          <a:ext cx="5000625" cy="10058400"/>
        </a:xfrm>
        <a:prstGeom prst="rect">
          <a:avLst/>
        </a:prstGeom>
      </xdr:spPr>
    </xdr:pic>
  </etc:cellImage>
  <etc:cellImage>
    <xdr:pic>
      <xdr:nvPicPr>
        <xdr:cNvPr id="8" name="ID_AB471285F013492EB78D422AAB317CC5" descr="自然灾害生活救助资金给付流程图"/>
        <xdr:cNvPicPr/>
      </xdr:nvPicPr>
      <xdr:blipFill>
        <a:blip r:embed="rId4"/>
        <a:stretch>
          <a:fillRect/>
        </a:stretch>
      </xdr:blipFill>
      <xdr:spPr>
        <a:xfrm>
          <a:off x="0" y="0"/>
          <a:ext cx="4764405" cy="10057765"/>
        </a:xfrm>
        <a:prstGeom prst="rect">
          <a:avLst/>
        </a:prstGeom>
      </xdr:spPr>
    </xdr:pic>
  </etc:cellImage>
  <etc:cellImage>
    <xdr:pic>
      <xdr:nvPicPr>
        <xdr:cNvPr id="9" name="ID_8B644308CFBF487F865220E1699D7CEB" descr="第三类非药品类易制毒化学品经营备案流程图"/>
        <xdr:cNvPicPr/>
      </xdr:nvPicPr>
      <xdr:blipFill>
        <a:blip r:embed="rId5"/>
        <a:stretch>
          <a:fillRect/>
        </a:stretch>
      </xdr:blipFill>
      <xdr:spPr>
        <a:xfrm>
          <a:off x="0" y="0"/>
          <a:ext cx="5278755" cy="10058400"/>
        </a:xfrm>
        <a:prstGeom prst="rect">
          <a:avLst/>
        </a:prstGeom>
      </xdr:spPr>
    </xdr:pic>
  </etc:cellImage>
  <etc:cellImage>
    <xdr:pic>
      <xdr:nvPicPr>
        <xdr:cNvPr id="10" name="ID_C27925CB6C0E490693A3E65FEC26B60F" descr="生产经营单位生产安全事故应急预案备案流程图"/>
        <xdr:cNvPicPr/>
      </xdr:nvPicPr>
      <xdr:blipFill>
        <a:blip r:embed="rId6"/>
        <a:stretch>
          <a:fillRect/>
        </a:stretch>
      </xdr:blipFill>
      <xdr:spPr>
        <a:xfrm>
          <a:off x="0" y="0"/>
          <a:ext cx="7713980" cy="8462645"/>
        </a:xfrm>
        <a:prstGeom prst="rect">
          <a:avLst/>
        </a:prstGeom>
      </xdr:spPr>
    </xdr:pic>
  </etc:cellImage>
  <etc:cellImage>
    <xdr:pic>
      <xdr:nvPicPr>
        <xdr:cNvPr id="11" name="ID_9EA38F05EC9A461993AE18D4638486C7" descr="转产、停产、停业或解散的危险化学品单位危险化学品生产装置、储"/>
        <xdr:cNvPicPr/>
      </xdr:nvPicPr>
      <xdr:blipFill>
        <a:blip r:embed="rId7"/>
        <a:stretch>
          <a:fillRect/>
        </a:stretch>
      </xdr:blipFill>
      <xdr:spPr>
        <a:xfrm>
          <a:off x="0" y="0"/>
          <a:ext cx="4932680" cy="10058400"/>
        </a:xfrm>
        <a:prstGeom prst="rect">
          <a:avLst/>
        </a:prstGeom>
      </xdr:spPr>
    </xdr:pic>
  </etc:cellImage>
  <etc:cellImage>
    <xdr:pic>
      <xdr:nvPicPr>
        <xdr:cNvPr id="12" name="ID_A574CA41CEC6433BBD169F1D4A41831A"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3" name="ID_C30ABE66E9E94729A7CA3922C0B22D23"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4" name="ID_374A623537E54383836B4ECE109F26D7"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5" name="ID_577E97F2E30549949B097DBB424B5073"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6" name="ID_16A6FD08F7D8475492734552468090CE"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7" name="ID_6196997E0CD949BA97191D8F0C8A84AE"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8" name="ID_5AE2A0B72BB64C0D98BBD16C0E658D28"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9" name="ID_ACF78B9050D148C082771DBB45B483B7"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0" name="ID_27F347D88D40452C8C805FAFD049099B"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1" name="ID_0F8F8037F0064613833464FCC8FF6B49"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2" name="ID_3CA20AF288B743678539BC05894B639D"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3" name="ID_95DCF37E175945A8AB2876056D5DE2C7"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4" name="ID_38921C494BA04B42AFA1DD8563556F07"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5" name="ID_8D5E61E498CA4D239B79F94447837C30"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6" name="ID_892964FBFC29478E8E2220162B06CF09"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7" name="ID_DAEAD973B68B48129E2855CC292BFB35"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8" name="ID_863E604C78B04AA9A1727FB31F2B033A"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9" name="ID_6FBC6C42E4F84187BC3088F5F023615E"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30" name="ID_F7A84CDE2675420DAEA7DFF1E3B71259"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31" name="ID_696902C348E24B85B59D1FDA3588D10F"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32" name="ID_39B748A35ED64F6984350B452591326A"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33" name="ID_9A1E9CF8F94B4BD9BD205199AB6CEE97"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34" name="ID_476E69CE9F1446B5BA861FED6582447A"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35" name="ID_339C08F1B52643D597554E1A9D97178C"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36" name="ID_AEDC83D3D6D0445E83C2D16BF0E628A5"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37" name="ID_61C785AE98314D9B9CFC24FEED3EB32F"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38" name="ID_188DA1E9DFAB42A19A844F237CC697FB"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39" name="ID_C0AE476E361C4346AB472476645F5FCA"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40" name="ID_A900A60DCE2E4ACAA0FCC6C5474B6BBF"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41" name="ID_55D834E339914CE88C4AD6FEFEC1DD53"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42" name="ID_D1430727B8AF4E188F8B5264A69E4315"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43" name="ID_049012DF17584E6F8D67EDAADC9421D4"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44" name="ID_B01D41F6E78A4C6B95B7B17C5CBD1909"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45" name="ID_9B0FB24E6F00417B94A2886DEA2A171E"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46" name="ID_485B1E54336C484B8191A5CF6B2AA192"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47" name="ID_E20AABCF0A304DE9B71A4EDF79443B59"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48" name="ID_882DE6AC8F7B493C97BD721EE0717CDC"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49" name="ID_08FAFC86E53F44E9994A359059A29616"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50" name="ID_76FD677490944A90B0950A5C94023FD1"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51" name="ID_B64CE29F1D104BB8AD162546DF8A313F"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52" name="ID_921903430344459BADA2B12F3219C581"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53" name="ID_BAD1B561289F49009F009C0638FC4074"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54" name="ID_A4544C48309A416D9A4092B9E736DE0E"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55" name="ID_CD2C6CF4303E4A40B1A2252808C33F98"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56" name="ID_FC7B3A76FDD84CC481B1569437790F0F"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57" name="ID_FDFCF73D571C4FAF88A293AE95650692"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58" name="ID_0879138FF2414D7DA2ED6717195086C0"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59" name="ID_248E685D07AF429C9C36DB6C3EB2D2FD"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60" name="ID_53D4AF21C1264361B6FC3E0D0361006E"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61" name="ID_6D815FBFB4614A4E82E909E5A056BF21"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62" name="ID_9B8F8BF1240A45898B2684E491D41426"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63" name="ID_04987343455B49DDB588703EA6F26833"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64" name="ID_8A6C01C5634E46C8B9A277E881FBAA0D"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65" name="ID_BE45815FAC2543C596DE079B8D80ADAC"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66" name="ID_A5F2F94DE01247A993ED98AB9D522736"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67" name="ID_F548AC89A9404FFEA52045D9E5C83A16"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68" name="ID_029B4A54137748278E6C48695C6D207D"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69" name="ID_04470D6396F5423181AA980638D76820"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70" name="ID_2345B1EA6AE64F488C0E523D635BED27"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71" name="ID_5998CFF1176C40F48B241288DEFCAD18"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72" name="ID_B3CF57A949854FAF9A2936E5E6D1E5A5"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73" name="ID_0ED6917632DA4A66BB26BC431A294B88"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74" name="ID_4B3D722482F9479B94EAC1AD4951B6AB"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75" name="ID_8019885FC579427D9994EADE3A43188B"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76" name="ID_2B845701EBA040368319E6A192FE282A"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77" name="ID_2FA27DBA27EB4CE0B4A9E49E3508F1CC"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78" name="ID_8B55C78AF5C141E9A4480419C54E0E59"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79" name="ID_3F04FAA2C3AB4178AD40E73C8E0A641F"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80" name="ID_AF2A781FB0E346E7BB19225DB7D362B4"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81" name="ID_E3097E24D9414E55B5EBEE6EEC751891"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82" name="ID_0376A313FE35427BA1CA911AF5462F60"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83" name="ID_21348DC59A164EDE9282D6DF98C89C62"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84" name="ID_5862195BA2444B14929327BBA1EA4151"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85" name="ID_9A007D915D014223A744CDFE26C6F69F"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86" name="ID_D4F9911C37684545A945FDDC7D689AF8"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87" name="ID_C4CE47BC954A45BA98326A8649CBCFBB"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88" name="ID_D709D0AEEE6C4F2FA7996E317F379B1F"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89" name="ID_5CB2ED28700D447A8D52AB41EF6D611C"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90" name="ID_B79C25E3A61648BFB3615C5BF7F8FDBF"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91" name="ID_1C53677796924B82B9480BB8037FC867"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92" name="ID_038804AF75EF45E7A6FE179853B2509D"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93" name="ID_54AEC3E8C2DC4AA9A1174F991C3D9245"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94" name="ID_673B637ADA0E4891AB131F26C8F6E5E8"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95" name="ID_C88DA61F61594B55B69278C1531593E5"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96" name="ID_38625DC51C9E43C9ABB1440F5FD1AC58"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97" name="ID_607F876391A645648508972EF137290C"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98" name="ID_4EDF42B7D3A0453694BCA14E428CA3FF"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99" name="ID_89331088BDD145B7B972927FC81BFFAE"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00" name="ID_23388B68E79A4441A6A9CD288D7617D3"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01" name="ID_CE28FBDE57634734AAE04FC769DE5F59"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02" name="ID_B6DECAA2282A4F7191E1A2B3991D7573"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03" name="ID_6C3FA8950CD04344B8EA262275EBD8F9"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04" name="ID_F4656E3A7293425DA0B99E1CE9ECE4D9"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05" name="ID_E5984861787341459EEAECF53ABABB17"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06" name="ID_9A18F383F22844088395142F17B06A18"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07" name="ID_FED8306F693F44578FAEADD2E44AFEBD"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08" name="ID_D9DB1179077747518C9C7E5EFE35FD3A"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09" name="ID_16DA92631ED14DD0B7CB5DF47E9F8FBF"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10" name="ID_7E54A8B003094EA0BFB69FD0FD5B08D1"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11" name="ID_914A15BFE4AA4977B1EB5044A2B561E3"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12" name="ID_A7D923877C9641EB98B9110303E5FD56"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13" name="ID_8BDE6A28EA3D4E359306E7F06EE0445E"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14" name="ID_6501DF0E0F5F4931879594D49E56AFDF"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15" name="ID_3CB644C181CC48C888A75C568DE5A449"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16" name="ID_3A30432C13A140C4B9EBED2F3BB74247"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17" name="ID_C8D508E55A814C599C0F5CB4EAF8CD19"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18" name="ID_1F74F386E94D497FB232AD828FBE7677"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19" name="ID_10CAD87B53824165B1EF284879818C78"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20" name="ID_4ADCBD48BC9644D7BA75B4753B86A9B1"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21" name="ID_6FFC9CD180304C5F83F56D4069533CAF"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22" name="ID_E3334BB0AFB749B58D7E7AD028ACE948"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23" name="ID_EB4D4A4BC83F49BAA6523BB211879299"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24" name="ID_0BFDFD1164C84315AEE05F6CFE2499F1"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25" name="ID_F3CC551B206949D29B8D6A2C9500EC57"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26" name="ID_06173B0C093C4CB5944A999C052A0688"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27" name="ID_7576C9EEDEE744268EBD5D226A2344DE"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28" name="ID_873415D6F6C844C4B53A74C11B2B5180"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29" name="ID_DE7FC969E67745C88426B8FA9C8F4B59"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30" name="ID_9A10EBB270644435B3CE03C40F6BAE27"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31" name="ID_BCA6401DDC1F41ADAC69DA028313ECCC"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32" name="ID_3617396EB8CC45AA86500069CECC74E2"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33" name="ID_E24C75F2CB42457596037A91F8C87CFA"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34" name="ID_E05A6D5A467E4388B07CDAADD186A313"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35" name="ID_D721026645E0445EBFC0C0CEDEBDA44B"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36" name="ID_AF99147BA5AA48FEACFE24DB08706868"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37" name="ID_B3BB16482E9942A9B8CB3247B821FE9C"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38" name="ID_EFADB16BCC604D0B927A0043B2C9662B"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39" name="ID_2FC35D9B70724A5FA403BAB26B4BA988"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40" name="ID_03FE451CAE104DC391C6E4206F9E3EF3"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41" name="ID_4FEA7B157F764F66B5364D221570C623"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42" name="ID_53347DD6296D4AC69B40032AB5CD2DE0"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43" name="ID_A43FA849654743A5B30EA99576974FF9"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44" name="ID_8F261E06DAB641908DCF914E7FB41A17"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45" name="ID_1DF30458DBE845AE9E121D7794254A70"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46" name="ID_B09B9818A7EA499CA63C03F98125B2BC"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47" name="ID_FF3090ACCB9F4BD5A7D5ABBAC849344F"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48" name="ID_E0135C159BAB439E9F6C8B70F018AA0D"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49" name="ID_8EF985D86067408FA4588D37874B342B"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50" name="ID_7ED79B77EF174C7FABC9B9234FBAA477"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51" name="ID_0287FC92CDF2461FBB12FF7778742C50"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52" name="ID_00597CD03D2A48C09A7276CCC685215D"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53" name="ID_3DC1F72CCD4E42D9B54D6D275A49BEB8"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54" name="ID_18A8EDC2A0DD4376A8290CBAF8895726"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55" name="ID_7273A0354A124E018E1C313EA0426FFA"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56" name="ID_EAE0B2DDE0EE46B1BE3D380C700B41E0"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57" name="ID_36A520A39BDE429FA1AE74FA9F2E7F72"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58" name="ID_C42CCDC9F0D647AB89D6C0325D47DFA2"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59" name="ID_D7CD6A04CC1E4BF8BDA103132C62C1C0"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60" name="ID_918E83EC960346D4ACB84B02DE54CF0A"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61" name="ID_C8CDDB11E8D14FBAAF1200CCE3970F7E"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62" name="ID_6E68C64CFEAA4EE0A342F613D9EC495E"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63" name="ID_A23E25596D4C4FB28711D21CBA24C09A"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64" name="ID_8BE85771704E4B638CE1812A83E9BF9C"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65" name="ID_2BEFEDC01E3B435A9B8F22AD68658AF5"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66" name="ID_D4A046798A7B4039BC418E1F41F47A2A"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67" name="ID_67B590FA17B847F39EE25BCC119F0EB5"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68" name="ID_30DAA4ECAD7C49F5AD12CDD5F923576D"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69" name="ID_B86EDDB228954C50A645FCE0677BFF48"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70" name="ID_8A1327CF8F2D46DBB22C2CC1BF576CDD"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71" name="ID_E7D103053E2A49A684AD1B9981A079A2"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72" name="ID_38BD6735C2DC4652A3BDC6561EDEBEE3"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73" name="ID_85BDE0BCD2B84E718797C3C3EE67C122"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74" name="ID_69ED2F3BC3ED4BBD8EE923248E0ED9FD"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75" name="ID_D61DEAC2CE0541B79CF3EFD20F401A8B"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76" name="ID_297AF45D494C49A6B9EF389C0D26207B"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77" name="ID_51EF24BEB239436E8887AD008F7DAE38"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78" name="ID_A3F984CF4021489BAE984FE2B2557803"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79" name="ID_C7A4A5496A55465C96FE166F8580DB0F"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80" name="ID_EDB3D79B13764A5D90C95A5F52ED04B4"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81" name="ID_60630B19D12945F5BF23875D573A5AFF"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82" name="ID_661AC32B612143529505EF870EF83BD6"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83" name="ID_AE10F1DA88ED416CB5C10C5643748751"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84" name="ID_F81635C469674C8AB6572C85A9919947"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85" name="ID_94E992B771CC4BC980A42F901908A7AD"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86" name="ID_FDC44E3E4E374129948ABA50D3A3D9A5"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87" name="ID_D6ADD57D50B74DAB8916BD9A51452D76"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88" name="ID_D6F8C0396AAB4C9FAA92E3E3B2CC3B95"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89" name="ID_AE96084FD59F4F30ADFFE3630BD30B4D"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90" name="ID_27580B2071504025A61FD1C8349099F4"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91" name="ID_237FA5110B7F4A29AE93015B2C4B3B69"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92" name="ID_4C1AC41770B64424A4FA07EF8A58A5B4"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93" name="ID_9D857286B4364F4E94353FD853D98F7A"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94" name="ID_8F2A5086CBD547C9B3327B3D77A12B91"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95" name="ID_855F036F42A74C3683F0C426AF7200CA"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96" name="ID_1F85341B355B44FC877B2435C246BB07"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97" name="ID_6BEA8AF786BF4FB9A8F19B24B3464FC6"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98" name="ID_63F1E67637CE4E72B0183F296B7C93E4"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199" name="ID_1E5F058409994E53909F031DA5337850"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00" name="ID_F5F5CB5956694CED8DC3552F92024A60"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01" name="ID_16AF1C796B4945CAA2EF4B3CB4273A47"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02" name="ID_5A167188F9E44DAC92F40EDAF5556675"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03" name="ID_B78B8195570F43898FED26AE3106781E"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04" name="ID_2E5D6D3069E849CAB7DD9862398E425A"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05" name="ID_FC7EEBBEB4C14E56A5BA944DF4AC7C18"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06" name="ID_F822F6A65C8D4B89A5920779D3068D81"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07" name="ID_590453B11F3F4AF4980672EB0CCBEC01"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08" name="ID_B8B6EEFE5D734467A13789A9AA741C2D"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09" name="ID_CB65DCE0709D4ED5AF0E42D36580BCE1"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10" name="ID_56335C26994C41878AFF10474DBC2356"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11" name="ID_9C6A9205440D4129A4758B3A53B62D08"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12" name="ID_CE1AC4C8CFED4B1D996B28B21058FBD0"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13" name="ID_1FA8DE32BAA74253A6DE8B00E49A71CD"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14" name="ID_FEA6CFCF30B4485AAFD5F8793A582332"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15" name="ID_0E535FDC3BFF4B75AD2EE5F5114ECC7D"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16" name="ID_B3B36B3963664DE2AD9457551E7939D3"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17" name="ID_A821FADE5DAC4579A010C6175C212FBB"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18" name="ID_98E02D0EE5074EF8A8CA4CCC230E6FC5"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19" name="ID_78B2D461065B4066ABD6F2F358392858"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20" name="ID_42507AF3F91640FFB64CFF7B348F446C"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21" name="ID_17FBFA98260E4692B584119D1C58BF02"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22" name="ID_17AF86012E0C4EFEBED2E673042EE51C"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23" name="ID_9EAFC35624034AA2832BB10ACCD20E65"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24" name="ID_01F4636D0E854D8AA5893711E3444A5F"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25" name="ID_7321B1CD12DE4833BB0846DD3103A9D4"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26" name="ID_E5E5BCAD3FC641CDA33FD2AC944B995A"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27" name="ID_CA8C9BFA9EF14B0188D7393AF86023DD"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28" name="ID_A7813DC126A24738B4E6A11976594E51"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29" name="ID_E265EAB2EA8E4422BF7E6E464E524DDA"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30" name="ID_1F5DF1B38ECA4C3E9D74BB26D05A0177"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31" name="ID_F63BBED621DD44D392A0CE1EB47A018B"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32" name="ID_9030A2E233144BC0A5D1C5547A832BA7"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33" name="ID_BF0DC7237D214320960C4A17B10BE1C6"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34" name="ID_D5AE6D77436041B29B4826DE65C76301"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35" name="ID_7D5A47C300AB4FBAB4C6BCA04D869A05"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36" name="ID_D6FA278AB7D64082A2BA1A84FFCBE224"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37" name="ID_164DCF170271426E8C21AAFF7C27093A"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38" name="ID_047DBE7F294E4D72B8AB8CFCDFA8570D"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39" name="ID_35F6A5F58ECA43729F1E5254CE21BE19"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40" name="ID_19AABB56176746468DFA7130FA0B3883"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41" name="ID_907B2EBDBDCD4EA990250A3453D5FC13"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42" name="ID_305ADE61C8A34DECAD1FBF77B7FD720E"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43" name="ID_EC6293717FA6442790EE22FAF54100E5"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44" name="ID_003E54F37B9945889A99B39C884CB8F2"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45" name="ID_F3CD666038DD4448BA4D99C3752D4249"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46" name="ID_5A671FE25F42410196E194D4894A153E"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47" name="ID_4C30CD9ED54E4CABBEACE3A7EC1E6008"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48" name="ID_9C1DC2A1955145BAA261F63531F6B148"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49" name="ID_28396112276F410A933C0ADC7DFF1337"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50" name="ID_24D78729477C4AF091E8A2F37989C39B"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51" name="ID_A0FE7FDCC171420D8AA053C11D616158"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52" name="ID_79D7CE4428FC45F6A3C90CD2A8B1657E"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53" name="ID_A2A1E91223894745A2DB73190CA22AE4"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54" name="ID_483E64C9B7A847F3B346D45DEFF5393E"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55" name="ID_0739B4FB49954088811ED5DEA3F1FA47"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56" name="ID_F2817C3D25D64A0C80D28F2C28707159"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57" name="ID_18A1E3C6461C44E28FF3136AC1CD1298"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58" name="ID_004C5003FCD642369046FDBDC38F926E"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59" name="ID_368066DF1D484D94A4707C5598753AFB"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60" name="ID_17893582902941E4908A0240AB9FA57E"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61" name="ID_75A0693F0EEA41078AC27B37E078D2A3"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62" name="ID_C02CC366247A413C8F32BE7C7C8B1090"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63" name="ID_D8DE6CB3AF674A8CAEDD7F97C6501E7B"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64" name="ID_8D26CE76685C49BBA8A28117F61858A3" descr="行政处罚类职权运行流程图"/>
        <xdr:cNvPicPr/>
      </xdr:nvPicPr>
      <xdr:blipFill>
        <a:blip r:embed="rId8"/>
        <a:stretch>
          <a:fillRect/>
        </a:stretch>
      </xdr:blipFill>
      <xdr:spPr>
        <a:xfrm>
          <a:off x="0" y="0"/>
          <a:ext cx="4787265" cy="10057765"/>
        </a:xfrm>
        <a:prstGeom prst="rect">
          <a:avLst/>
        </a:prstGeom>
      </xdr:spPr>
    </xdr:pic>
  </etc:cellImage>
  <etc:cellImage>
    <xdr:pic>
      <xdr:nvPicPr>
        <xdr:cNvPr id="265" name="ID_7EAA26FBD10D42209DD3096E26D09F7B" descr="行政职权运行流程图-行政强制措施类"/>
        <xdr:cNvPicPr/>
      </xdr:nvPicPr>
      <xdr:blipFill>
        <a:blip r:embed="rId9"/>
        <a:stretch>
          <a:fillRect/>
        </a:stretch>
      </xdr:blipFill>
      <xdr:spPr>
        <a:xfrm>
          <a:off x="0" y="0"/>
          <a:ext cx="7713980" cy="8949055"/>
        </a:xfrm>
        <a:prstGeom prst="rect">
          <a:avLst/>
        </a:prstGeom>
      </xdr:spPr>
    </xdr:pic>
  </etc:cellImage>
  <etc:cellImage>
    <xdr:pic>
      <xdr:nvPicPr>
        <xdr:cNvPr id="266" name="ID_8FCEC924ACA9493C9F6488BE6821769F" descr="行政奖励流程图"/>
        <xdr:cNvPicPr/>
      </xdr:nvPicPr>
      <xdr:blipFill>
        <a:blip r:embed="rId10"/>
        <a:stretch>
          <a:fillRect/>
        </a:stretch>
      </xdr:blipFill>
      <xdr:spPr>
        <a:xfrm>
          <a:off x="0" y="0"/>
          <a:ext cx="7937500" cy="7178675"/>
        </a:xfrm>
        <a:prstGeom prst="rect">
          <a:avLst/>
        </a:prstGeom>
      </xdr:spPr>
    </xdr:pic>
  </etc:cellImage>
  <etc:cellImage>
    <xdr:pic>
      <xdr:nvPicPr>
        <xdr:cNvPr id="267" name="ID_828E6FB4D87C4C3B89603F7F7B28BA50" descr="行政职权运行流程图-其他 备案"/>
        <xdr:cNvPicPr/>
      </xdr:nvPicPr>
      <xdr:blipFill>
        <a:blip r:embed="rId11"/>
        <a:stretch>
          <a:fillRect/>
        </a:stretch>
      </xdr:blipFill>
      <xdr:spPr>
        <a:xfrm>
          <a:off x="0" y="0"/>
          <a:ext cx="10058400" cy="6445250"/>
        </a:xfrm>
        <a:prstGeom prst="rect">
          <a:avLst/>
        </a:prstGeom>
      </xdr:spPr>
    </xdr:pic>
  </etc:cellImage>
  <etc:cellImage>
    <xdr:pic>
      <xdr:nvPicPr>
        <xdr:cNvPr id="268" name="ID_A8652EFCCC3242E78B5A420CD4CA340E" descr="风险防控图"/>
        <xdr:cNvPicPr/>
      </xdr:nvPicPr>
      <xdr:blipFill>
        <a:blip r:embed="rId12"/>
        <a:stretch>
          <a:fillRect/>
        </a:stretch>
      </xdr:blipFill>
      <xdr:spPr>
        <a:xfrm>
          <a:off x="0" y="0"/>
          <a:ext cx="7110095" cy="10058400"/>
        </a:xfrm>
        <a:prstGeom prst="rect">
          <a:avLst/>
        </a:prstGeom>
      </xdr:spPr>
    </xdr:pic>
  </etc:cellImage>
  <etc:cellImage>
    <xdr:pic>
      <xdr:nvPicPr>
        <xdr:cNvPr id="269" name="ID_90948B920D224C2CBF5DD155FAB501E4" descr="风险防控图"/>
        <xdr:cNvPicPr/>
      </xdr:nvPicPr>
      <xdr:blipFill>
        <a:blip r:embed="rId12"/>
        <a:stretch>
          <a:fillRect/>
        </a:stretch>
      </xdr:blipFill>
      <xdr:spPr>
        <a:xfrm>
          <a:off x="0" y="0"/>
          <a:ext cx="7110095" cy="10058400"/>
        </a:xfrm>
        <a:prstGeom prst="rect">
          <a:avLst/>
        </a:prstGeom>
      </xdr:spPr>
    </xdr:pic>
  </etc:cellImage>
  <etc:cellImage>
    <xdr:pic>
      <xdr:nvPicPr>
        <xdr:cNvPr id="270" name="ID_E2BC86CA38F04DADBA17550950B69AEC" descr="风险防控图"/>
        <xdr:cNvPicPr/>
      </xdr:nvPicPr>
      <xdr:blipFill>
        <a:blip r:embed="rId12"/>
        <a:stretch>
          <a:fillRect/>
        </a:stretch>
      </xdr:blipFill>
      <xdr:spPr>
        <a:xfrm>
          <a:off x="0" y="0"/>
          <a:ext cx="7110095" cy="10058400"/>
        </a:xfrm>
        <a:prstGeom prst="rect">
          <a:avLst/>
        </a:prstGeom>
      </xdr:spPr>
    </xdr:pic>
  </etc:cellImage>
  <etc:cellImage>
    <xdr:pic>
      <xdr:nvPicPr>
        <xdr:cNvPr id="271" name="ID_C0D0CB6054EE43C9A94E26947CEF3B6C" descr="风险防控图"/>
        <xdr:cNvPicPr/>
      </xdr:nvPicPr>
      <xdr:blipFill>
        <a:blip r:embed="rId12"/>
        <a:stretch>
          <a:fillRect/>
        </a:stretch>
      </xdr:blipFill>
      <xdr:spPr>
        <a:xfrm>
          <a:off x="0" y="0"/>
          <a:ext cx="7110095" cy="10058400"/>
        </a:xfrm>
        <a:prstGeom prst="rect">
          <a:avLst/>
        </a:prstGeom>
      </xdr:spPr>
    </xdr:pic>
  </etc:cellImage>
  <etc:cellImage>
    <xdr:pic>
      <xdr:nvPicPr>
        <xdr:cNvPr id="272" name="ID_14E93C4D64844483985964DEB3422532" descr="风险防控图"/>
        <xdr:cNvPicPr/>
      </xdr:nvPicPr>
      <xdr:blipFill>
        <a:blip r:embed="rId12"/>
        <a:stretch>
          <a:fillRect/>
        </a:stretch>
      </xdr:blipFill>
      <xdr:spPr>
        <a:xfrm>
          <a:off x="0" y="0"/>
          <a:ext cx="7110095" cy="10058400"/>
        </a:xfrm>
        <a:prstGeom prst="rect">
          <a:avLst/>
        </a:prstGeom>
      </xdr:spPr>
    </xdr:pic>
  </etc:cellImage>
  <etc:cellImage>
    <xdr:pic>
      <xdr:nvPicPr>
        <xdr:cNvPr id="273" name="ID_BFF0FD0F2B504C41ADFE6CEF42A681F7" descr="风险防控图"/>
        <xdr:cNvPicPr/>
      </xdr:nvPicPr>
      <xdr:blipFill>
        <a:blip r:embed="rId12"/>
        <a:stretch>
          <a:fillRect/>
        </a:stretch>
      </xdr:blipFill>
      <xdr:spPr>
        <a:xfrm>
          <a:off x="0" y="0"/>
          <a:ext cx="7110095" cy="10058400"/>
        </a:xfrm>
        <a:prstGeom prst="rect">
          <a:avLst/>
        </a:prstGeom>
      </xdr:spPr>
    </xdr:pic>
  </etc:cellImage>
  <etc:cellImage>
    <xdr:pic>
      <xdr:nvPicPr>
        <xdr:cNvPr id="274" name="ID_557D6D56CF5F4A35AB2339209EEC3D16" descr="风险防控图"/>
        <xdr:cNvPicPr/>
      </xdr:nvPicPr>
      <xdr:blipFill>
        <a:blip r:embed="rId12"/>
        <a:stretch>
          <a:fillRect/>
        </a:stretch>
      </xdr:blipFill>
      <xdr:spPr>
        <a:xfrm>
          <a:off x="0" y="0"/>
          <a:ext cx="7110095" cy="10058400"/>
        </a:xfrm>
        <a:prstGeom prst="rect">
          <a:avLst/>
        </a:prstGeom>
      </xdr:spPr>
    </xdr:pic>
  </etc:cellImage>
  <etc:cellImage>
    <xdr:pic>
      <xdr:nvPicPr>
        <xdr:cNvPr id="275" name="ID_19798A0EBF8D4C9B85187D5C04404538" descr="风险防控图"/>
        <xdr:cNvPicPr/>
      </xdr:nvPicPr>
      <xdr:blipFill>
        <a:blip r:embed="rId12"/>
        <a:stretch>
          <a:fillRect/>
        </a:stretch>
      </xdr:blipFill>
      <xdr:spPr>
        <a:xfrm>
          <a:off x="0" y="0"/>
          <a:ext cx="7110095" cy="10058400"/>
        </a:xfrm>
        <a:prstGeom prst="rect">
          <a:avLst/>
        </a:prstGeom>
      </xdr:spPr>
    </xdr:pic>
  </etc:cellImage>
  <etc:cellImage>
    <xdr:pic>
      <xdr:nvPicPr>
        <xdr:cNvPr id="276" name="ID_C0649297B2164535AF967EEF18A8C1D1" descr="风险防控图"/>
        <xdr:cNvPicPr/>
      </xdr:nvPicPr>
      <xdr:blipFill>
        <a:blip r:embed="rId12"/>
        <a:stretch>
          <a:fillRect/>
        </a:stretch>
      </xdr:blipFill>
      <xdr:spPr>
        <a:xfrm>
          <a:off x="0" y="0"/>
          <a:ext cx="7110095" cy="10058400"/>
        </a:xfrm>
        <a:prstGeom prst="rect">
          <a:avLst/>
        </a:prstGeom>
      </xdr:spPr>
    </xdr:pic>
  </etc:cellImage>
  <etc:cellImage>
    <xdr:pic>
      <xdr:nvPicPr>
        <xdr:cNvPr id="277" name="ID_69860BC70F064627A4B500BD010A721E" descr="风险防控图"/>
        <xdr:cNvPicPr/>
      </xdr:nvPicPr>
      <xdr:blipFill>
        <a:blip r:embed="rId12"/>
        <a:stretch>
          <a:fillRect/>
        </a:stretch>
      </xdr:blipFill>
      <xdr:spPr>
        <a:xfrm>
          <a:off x="0" y="0"/>
          <a:ext cx="7110095" cy="10058400"/>
        </a:xfrm>
        <a:prstGeom prst="rect">
          <a:avLst/>
        </a:prstGeom>
      </xdr:spPr>
    </xdr:pic>
  </etc:cellImage>
  <etc:cellImage>
    <xdr:pic>
      <xdr:nvPicPr>
        <xdr:cNvPr id="278" name="ID_E98F0DDF009C4F09A7E46FB09445AFFD" descr="风险防控图"/>
        <xdr:cNvPicPr/>
      </xdr:nvPicPr>
      <xdr:blipFill>
        <a:blip r:embed="rId12"/>
        <a:stretch>
          <a:fillRect/>
        </a:stretch>
      </xdr:blipFill>
      <xdr:spPr>
        <a:xfrm>
          <a:off x="0" y="0"/>
          <a:ext cx="7110095" cy="10058400"/>
        </a:xfrm>
        <a:prstGeom prst="rect">
          <a:avLst/>
        </a:prstGeom>
      </xdr:spPr>
    </xdr:pic>
  </etc:cellImage>
  <etc:cellImage>
    <xdr:pic>
      <xdr:nvPicPr>
        <xdr:cNvPr id="279" name="ID_3F32A810F65E425F94FBD2CEAF16503A" descr="风险防控图"/>
        <xdr:cNvPicPr/>
      </xdr:nvPicPr>
      <xdr:blipFill>
        <a:blip r:embed="rId12"/>
        <a:stretch>
          <a:fillRect/>
        </a:stretch>
      </xdr:blipFill>
      <xdr:spPr>
        <a:xfrm>
          <a:off x="0" y="0"/>
          <a:ext cx="7110095" cy="10058400"/>
        </a:xfrm>
        <a:prstGeom prst="rect">
          <a:avLst/>
        </a:prstGeom>
      </xdr:spPr>
    </xdr:pic>
  </etc:cellImage>
  <etc:cellImage>
    <xdr:pic>
      <xdr:nvPicPr>
        <xdr:cNvPr id="280" name="ID_DFCEE10CA21444D888026D6A14545E89" descr="风险防控图"/>
        <xdr:cNvPicPr/>
      </xdr:nvPicPr>
      <xdr:blipFill>
        <a:blip r:embed="rId12"/>
        <a:stretch>
          <a:fillRect/>
        </a:stretch>
      </xdr:blipFill>
      <xdr:spPr>
        <a:xfrm>
          <a:off x="0" y="0"/>
          <a:ext cx="7110095" cy="10058400"/>
        </a:xfrm>
        <a:prstGeom prst="rect">
          <a:avLst/>
        </a:prstGeom>
      </xdr:spPr>
    </xdr:pic>
  </etc:cellImage>
  <etc:cellImage>
    <xdr:pic>
      <xdr:nvPicPr>
        <xdr:cNvPr id="281" name="ID_656D1D300E494457A1950F08594FB704" descr="风险防控图"/>
        <xdr:cNvPicPr/>
      </xdr:nvPicPr>
      <xdr:blipFill>
        <a:blip r:embed="rId12"/>
        <a:stretch>
          <a:fillRect/>
        </a:stretch>
      </xdr:blipFill>
      <xdr:spPr>
        <a:xfrm>
          <a:off x="0" y="0"/>
          <a:ext cx="7110095" cy="10058400"/>
        </a:xfrm>
        <a:prstGeom prst="rect">
          <a:avLst/>
        </a:prstGeom>
      </xdr:spPr>
    </xdr:pic>
  </etc:cellImage>
  <etc:cellImage>
    <xdr:pic>
      <xdr:nvPicPr>
        <xdr:cNvPr id="282" name="ID_5F75ECDD849647ACA0DE0100F03D1E1F" descr="风险防控图"/>
        <xdr:cNvPicPr/>
      </xdr:nvPicPr>
      <xdr:blipFill>
        <a:blip r:embed="rId12"/>
        <a:stretch>
          <a:fillRect/>
        </a:stretch>
      </xdr:blipFill>
      <xdr:spPr>
        <a:xfrm>
          <a:off x="0" y="0"/>
          <a:ext cx="7110095" cy="10058400"/>
        </a:xfrm>
        <a:prstGeom prst="rect">
          <a:avLst/>
        </a:prstGeom>
      </xdr:spPr>
    </xdr:pic>
  </etc:cellImage>
  <etc:cellImage>
    <xdr:pic>
      <xdr:nvPicPr>
        <xdr:cNvPr id="283" name="ID_2D44432D22D3464AAA3DC6D59C063377" descr="风险防控图"/>
        <xdr:cNvPicPr/>
      </xdr:nvPicPr>
      <xdr:blipFill>
        <a:blip r:embed="rId12"/>
        <a:stretch>
          <a:fillRect/>
        </a:stretch>
      </xdr:blipFill>
      <xdr:spPr>
        <a:xfrm>
          <a:off x="0" y="0"/>
          <a:ext cx="7110095" cy="10058400"/>
        </a:xfrm>
        <a:prstGeom prst="rect">
          <a:avLst/>
        </a:prstGeom>
      </xdr:spPr>
    </xdr:pic>
  </etc:cellImage>
  <etc:cellImage>
    <xdr:pic>
      <xdr:nvPicPr>
        <xdr:cNvPr id="284" name="ID_A4BAE62F5E5441FBA24A885BC17BD6BE" descr="风险防控图"/>
        <xdr:cNvPicPr/>
      </xdr:nvPicPr>
      <xdr:blipFill>
        <a:blip r:embed="rId12"/>
        <a:stretch>
          <a:fillRect/>
        </a:stretch>
      </xdr:blipFill>
      <xdr:spPr>
        <a:xfrm>
          <a:off x="0" y="0"/>
          <a:ext cx="7110095" cy="10058400"/>
        </a:xfrm>
        <a:prstGeom prst="rect">
          <a:avLst/>
        </a:prstGeom>
      </xdr:spPr>
    </xdr:pic>
  </etc:cellImage>
  <etc:cellImage>
    <xdr:pic>
      <xdr:nvPicPr>
        <xdr:cNvPr id="285" name="ID_9D32719A16C9435EB8032448B2ECCE12" descr="风险防控图"/>
        <xdr:cNvPicPr/>
      </xdr:nvPicPr>
      <xdr:blipFill>
        <a:blip r:embed="rId12"/>
        <a:stretch>
          <a:fillRect/>
        </a:stretch>
      </xdr:blipFill>
      <xdr:spPr>
        <a:xfrm>
          <a:off x="0" y="0"/>
          <a:ext cx="7110095" cy="10058400"/>
        </a:xfrm>
        <a:prstGeom prst="rect">
          <a:avLst/>
        </a:prstGeom>
      </xdr:spPr>
    </xdr:pic>
  </etc:cellImage>
  <etc:cellImage>
    <xdr:pic>
      <xdr:nvPicPr>
        <xdr:cNvPr id="286" name="ID_CF9E2979E3D445A99C4CF891B5A0ACE1" descr="风险防控图"/>
        <xdr:cNvPicPr/>
      </xdr:nvPicPr>
      <xdr:blipFill>
        <a:blip r:embed="rId12"/>
        <a:stretch>
          <a:fillRect/>
        </a:stretch>
      </xdr:blipFill>
      <xdr:spPr>
        <a:xfrm>
          <a:off x="0" y="0"/>
          <a:ext cx="7110095" cy="10058400"/>
        </a:xfrm>
        <a:prstGeom prst="rect">
          <a:avLst/>
        </a:prstGeom>
      </xdr:spPr>
    </xdr:pic>
  </etc:cellImage>
  <etc:cellImage>
    <xdr:pic>
      <xdr:nvPicPr>
        <xdr:cNvPr id="287" name="ID_DF4EA6E1919D47E0B1701F568A5EB2C8" descr="风险防控图"/>
        <xdr:cNvPicPr/>
      </xdr:nvPicPr>
      <xdr:blipFill>
        <a:blip r:embed="rId12"/>
        <a:stretch>
          <a:fillRect/>
        </a:stretch>
      </xdr:blipFill>
      <xdr:spPr>
        <a:xfrm>
          <a:off x="0" y="0"/>
          <a:ext cx="7110095" cy="10058400"/>
        </a:xfrm>
        <a:prstGeom prst="rect">
          <a:avLst/>
        </a:prstGeom>
      </xdr:spPr>
    </xdr:pic>
  </etc:cellImage>
  <etc:cellImage>
    <xdr:pic>
      <xdr:nvPicPr>
        <xdr:cNvPr id="288" name="ID_4EEF3D46E0644FE08025B7295D5D08F3" descr="风险防控图"/>
        <xdr:cNvPicPr/>
      </xdr:nvPicPr>
      <xdr:blipFill>
        <a:blip r:embed="rId12"/>
        <a:stretch>
          <a:fillRect/>
        </a:stretch>
      </xdr:blipFill>
      <xdr:spPr>
        <a:xfrm>
          <a:off x="0" y="0"/>
          <a:ext cx="7110095" cy="10058400"/>
        </a:xfrm>
        <a:prstGeom prst="rect">
          <a:avLst/>
        </a:prstGeom>
      </xdr:spPr>
    </xdr:pic>
  </etc:cellImage>
  <etc:cellImage>
    <xdr:pic>
      <xdr:nvPicPr>
        <xdr:cNvPr id="289" name="ID_76BDDFB197484301B1AAE8BB9DAEA127" descr="风险防控图"/>
        <xdr:cNvPicPr/>
      </xdr:nvPicPr>
      <xdr:blipFill>
        <a:blip r:embed="rId12"/>
        <a:stretch>
          <a:fillRect/>
        </a:stretch>
      </xdr:blipFill>
      <xdr:spPr>
        <a:xfrm>
          <a:off x="0" y="0"/>
          <a:ext cx="7110095" cy="10058400"/>
        </a:xfrm>
        <a:prstGeom prst="rect">
          <a:avLst/>
        </a:prstGeom>
      </xdr:spPr>
    </xdr:pic>
  </etc:cellImage>
  <etc:cellImage>
    <xdr:pic>
      <xdr:nvPicPr>
        <xdr:cNvPr id="290" name="ID_92090D728345487E97BEBBCB8A5DD0AA" descr="风险防控图"/>
        <xdr:cNvPicPr/>
      </xdr:nvPicPr>
      <xdr:blipFill>
        <a:blip r:embed="rId12"/>
        <a:stretch>
          <a:fillRect/>
        </a:stretch>
      </xdr:blipFill>
      <xdr:spPr>
        <a:xfrm>
          <a:off x="0" y="0"/>
          <a:ext cx="7110095" cy="10058400"/>
        </a:xfrm>
        <a:prstGeom prst="rect">
          <a:avLst/>
        </a:prstGeom>
      </xdr:spPr>
    </xdr:pic>
  </etc:cellImage>
  <etc:cellImage>
    <xdr:pic>
      <xdr:nvPicPr>
        <xdr:cNvPr id="291" name="ID_80F0BAF74D1E493995D45780133495EF" descr="风险防控图"/>
        <xdr:cNvPicPr/>
      </xdr:nvPicPr>
      <xdr:blipFill>
        <a:blip r:embed="rId12"/>
        <a:stretch>
          <a:fillRect/>
        </a:stretch>
      </xdr:blipFill>
      <xdr:spPr>
        <a:xfrm>
          <a:off x="0" y="0"/>
          <a:ext cx="7110095" cy="10058400"/>
        </a:xfrm>
        <a:prstGeom prst="rect">
          <a:avLst/>
        </a:prstGeom>
      </xdr:spPr>
    </xdr:pic>
  </etc:cellImage>
  <etc:cellImage>
    <xdr:pic>
      <xdr:nvPicPr>
        <xdr:cNvPr id="292" name="ID_1D2F4611C2474FB89FB8B45C0D9B7C96" descr="风险防控图"/>
        <xdr:cNvPicPr/>
      </xdr:nvPicPr>
      <xdr:blipFill>
        <a:blip r:embed="rId12"/>
        <a:stretch>
          <a:fillRect/>
        </a:stretch>
      </xdr:blipFill>
      <xdr:spPr>
        <a:xfrm>
          <a:off x="0" y="0"/>
          <a:ext cx="7110095" cy="10058400"/>
        </a:xfrm>
        <a:prstGeom prst="rect">
          <a:avLst/>
        </a:prstGeom>
      </xdr:spPr>
    </xdr:pic>
  </etc:cellImage>
  <etc:cellImage>
    <xdr:pic>
      <xdr:nvPicPr>
        <xdr:cNvPr id="293" name="ID_EC367413C0664C8F929EB76EAA0E86BE" descr="风险防控图"/>
        <xdr:cNvPicPr/>
      </xdr:nvPicPr>
      <xdr:blipFill>
        <a:blip r:embed="rId12"/>
        <a:stretch>
          <a:fillRect/>
        </a:stretch>
      </xdr:blipFill>
      <xdr:spPr>
        <a:xfrm>
          <a:off x="0" y="0"/>
          <a:ext cx="7110095" cy="10058400"/>
        </a:xfrm>
        <a:prstGeom prst="rect">
          <a:avLst/>
        </a:prstGeom>
      </xdr:spPr>
    </xdr:pic>
  </etc:cellImage>
  <etc:cellImage>
    <xdr:pic>
      <xdr:nvPicPr>
        <xdr:cNvPr id="294" name="ID_DC053B9322AD48E39B711F7C0BBCD9C0" descr="风险防控图"/>
        <xdr:cNvPicPr/>
      </xdr:nvPicPr>
      <xdr:blipFill>
        <a:blip r:embed="rId12"/>
        <a:stretch>
          <a:fillRect/>
        </a:stretch>
      </xdr:blipFill>
      <xdr:spPr>
        <a:xfrm>
          <a:off x="0" y="0"/>
          <a:ext cx="7110095" cy="10058400"/>
        </a:xfrm>
        <a:prstGeom prst="rect">
          <a:avLst/>
        </a:prstGeom>
      </xdr:spPr>
    </xdr:pic>
  </etc:cellImage>
  <etc:cellImage>
    <xdr:pic>
      <xdr:nvPicPr>
        <xdr:cNvPr id="295" name="ID_EFCAB5EC66C245768CF9D490B8D8290E" descr="风险防控图"/>
        <xdr:cNvPicPr/>
      </xdr:nvPicPr>
      <xdr:blipFill>
        <a:blip r:embed="rId12"/>
        <a:stretch>
          <a:fillRect/>
        </a:stretch>
      </xdr:blipFill>
      <xdr:spPr>
        <a:xfrm>
          <a:off x="0" y="0"/>
          <a:ext cx="7110095" cy="10058400"/>
        </a:xfrm>
        <a:prstGeom prst="rect">
          <a:avLst/>
        </a:prstGeom>
      </xdr:spPr>
    </xdr:pic>
  </etc:cellImage>
  <etc:cellImage>
    <xdr:pic>
      <xdr:nvPicPr>
        <xdr:cNvPr id="296" name="ID_7AD2EE783B91465EB422A814DD097E54" descr="风险防控图"/>
        <xdr:cNvPicPr/>
      </xdr:nvPicPr>
      <xdr:blipFill>
        <a:blip r:embed="rId12"/>
        <a:stretch>
          <a:fillRect/>
        </a:stretch>
      </xdr:blipFill>
      <xdr:spPr>
        <a:xfrm>
          <a:off x="0" y="0"/>
          <a:ext cx="7110095" cy="10058400"/>
        </a:xfrm>
        <a:prstGeom prst="rect">
          <a:avLst/>
        </a:prstGeom>
      </xdr:spPr>
    </xdr:pic>
  </etc:cellImage>
  <etc:cellImage>
    <xdr:pic>
      <xdr:nvPicPr>
        <xdr:cNvPr id="297" name="ID_65C1F4949AA74D269F5B916C97CB2D04" descr="风险防控图"/>
        <xdr:cNvPicPr/>
      </xdr:nvPicPr>
      <xdr:blipFill>
        <a:blip r:embed="rId12"/>
        <a:stretch>
          <a:fillRect/>
        </a:stretch>
      </xdr:blipFill>
      <xdr:spPr>
        <a:xfrm>
          <a:off x="0" y="0"/>
          <a:ext cx="7110095" cy="10058400"/>
        </a:xfrm>
        <a:prstGeom prst="rect">
          <a:avLst/>
        </a:prstGeom>
      </xdr:spPr>
    </xdr:pic>
  </etc:cellImage>
  <etc:cellImage>
    <xdr:pic>
      <xdr:nvPicPr>
        <xdr:cNvPr id="298" name="ID_FE94BFD873F04BF5AFFCD4D1D211DF53" descr="风险防控图"/>
        <xdr:cNvPicPr/>
      </xdr:nvPicPr>
      <xdr:blipFill>
        <a:blip r:embed="rId12"/>
        <a:stretch>
          <a:fillRect/>
        </a:stretch>
      </xdr:blipFill>
      <xdr:spPr>
        <a:xfrm>
          <a:off x="0" y="0"/>
          <a:ext cx="7110095" cy="10058400"/>
        </a:xfrm>
        <a:prstGeom prst="rect">
          <a:avLst/>
        </a:prstGeom>
      </xdr:spPr>
    </xdr:pic>
  </etc:cellImage>
  <etc:cellImage>
    <xdr:pic>
      <xdr:nvPicPr>
        <xdr:cNvPr id="299" name="ID_5E03596BCFBB46EA95AF75F70719E43B" descr="风险防控图"/>
        <xdr:cNvPicPr/>
      </xdr:nvPicPr>
      <xdr:blipFill>
        <a:blip r:embed="rId12"/>
        <a:stretch>
          <a:fillRect/>
        </a:stretch>
      </xdr:blipFill>
      <xdr:spPr>
        <a:xfrm>
          <a:off x="0" y="0"/>
          <a:ext cx="7110095" cy="10058400"/>
        </a:xfrm>
        <a:prstGeom prst="rect">
          <a:avLst/>
        </a:prstGeom>
      </xdr:spPr>
    </xdr:pic>
  </etc:cellImage>
  <etc:cellImage>
    <xdr:pic>
      <xdr:nvPicPr>
        <xdr:cNvPr id="300" name="ID_1222A251264B4328973AC2B9724B66C8" descr="风险防控图"/>
        <xdr:cNvPicPr/>
      </xdr:nvPicPr>
      <xdr:blipFill>
        <a:blip r:embed="rId12"/>
        <a:stretch>
          <a:fillRect/>
        </a:stretch>
      </xdr:blipFill>
      <xdr:spPr>
        <a:xfrm>
          <a:off x="0" y="0"/>
          <a:ext cx="7110095" cy="10058400"/>
        </a:xfrm>
        <a:prstGeom prst="rect">
          <a:avLst/>
        </a:prstGeom>
      </xdr:spPr>
    </xdr:pic>
  </etc:cellImage>
  <etc:cellImage>
    <xdr:pic>
      <xdr:nvPicPr>
        <xdr:cNvPr id="301" name="ID_1BECE7F4D03A4B2FB6A8FB91D4BECF22" descr="风险防控图"/>
        <xdr:cNvPicPr/>
      </xdr:nvPicPr>
      <xdr:blipFill>
        <a:blip r:embed="rId12"/>
        <a:stretch>
          <a:fillRect/>
        </a:stretch>
      </xdr:blipFill>
      <xdr:spPr>
        <a:xfrm>
          <a:off x="0" y="0"/>
          <a:ext cx="7110095" cy="10058400"/>
        </a:xfrm>
        <a:prstGeom prst="rect">
          <a:avLst/>
        </a:prstGeom>
      </xdr:spPr>
    </xdr:pic>
  </etc:cellImage>
  <etc:cellImage>
    <xdr:pic>
      <xdr:nvPicPr>
        <xdr:cNvPr id="302" name="ID_2A4836B9C8C14961810839B25606946D" descr="风险防控图"/>
        <xdr:cNvPicPr/>
      </xdr:nvPicPr>
      <xdr:blipFill>
        <a:blip r:embed="rId12"/>
        <a:stretch>
          <a:fillRect/>
        </a:stretch>
      </xdr:blipFill>
      <xdr:spPr>
        <a:xfrm>
          <a:off x="0" y="0"/>
          <a:ext cx="7110095" cy="10058400"/>
        </a:xfrm>
        <a:prstGeom prst="rect">
          <a:avLst/>
        </a:prstGeom>
      </xdr:spPr>
    </xdr:pic>
  </etc:cellImage>
  <etc:cellImage>
    <xdr:pic>
      <xdr:nvPicPr>
        <xdr:cNvPr id="303" name="ID_DA4F627E55E74DC8808E13A39524A47C" descr="风险防控图"/>
        <xdr:cNvPicPr/>
      </xdr:nvPicPr>
      <xdr:blipFill>
        <a:blip r:embed="rId12"/>
        <a:stretch>
          <a:fillRect/>
        </a:stretch>
      </xdr:blipFill>
      <xdr:spPr>
        <a:xfrm>
          <a:off x="0" y="0"/>
          <a:ext cx="7110095" cy="10058400"/>
        </a:xfrm>
        <a:prstGeom prst="rect">
          <a:avLst/>
        </a:prstGeom>
      </xdr:spPr>
    </xdr:pic>
  </etc:cellImage>
  <etc:cellImage>
    <xdr:pic>
      <xdr:nvPicPr>
        <xdr:cNvPr id="304" name="ID_478218BD8F214DEA8AF17E65ECBBFABA" descr="风险防控图"/>
        <xdr:cNvPicPr/>
      </xdr:nvPicPr>
      <xdr:blipFill>
        <a:blip r:embed="rId12"/>
        <a:stretch>
          <a:fillRect/>
        </a:stretch>
      </xdr:blipFill>
      <xdr:spPr>
        <a:xfrm>
          <a:off x="0" y="0"/>
          <a:ext cx="7110095" cy="10058400"/>
        </a:xfrm>
        <a:prstGeom prst="rect">
          <a:avLst/>
        </a:prstGeom>
      </xdr:spPr>
    </xdr:pic>
  </etc:cellImage>
  <etc:cellImage>
    <xdr:pic>
      <xdr:nvPicPr>
        <xdr:cNvPr id="305" name="ID_6DD093E0D68A453E918A9D2F2661EEFF" descr="风险防控图"/>
        <xdr:cNvPicPr/>
      </xdr:nvPicPr>
      <xdr:blipFill>
        <a:blip r:embed="rId12"/>
        <a:stretch>
          <a:fillRect/>
        </a:stretch>
      </xdr:blipFill>
      <xdr:spPr>
        <a:xfrm>
          <a:off x="0" y="0"/>
          <a:ext cx="7110095" cy="10058400"/>
        </a:xfrm>
        <a:prstGeom prst="rect">
          <a:avLst/>
        </a:prstGeom>
      </xdr:spPr>
    </xdr:pic>
  </etc:cellImage>
  <etc:cellImage>
    <xdr:pic>
      <xdr:nvPicPr>
        <xdr:cNvPr id="306" name="ID_56A54961D2AB478C8403E68E93FB100B" descr="风险防控图"/>
        <xdr:cNvPicPr/>
      </xdr:nvPicPr>
      <xdr:blipFill>
        <a:blip r:embed="rId12"/>
        <a:stretch>
          <a:fillRect/>
        </a:stretch>
      </xdr:blipFill>
      <xdr:spPr>
        <a:xfrm>
          <a:off x="0" y="0"/>
          <a:ext cx="7110095" cy="10058400"/>
        </a:xfrm>
        <a:prstGeom prst="rect">
          <a:avLst/>
        </a:prstGeom>
      </xdr:spPr>
    </xdr:pic>
  </etc:cellImage>
  <etc:cellImage>
    <xdr:pic>
      <xdr:nvPicPr>
        <xdr:cNvPr id="307" name="ID_3061771B76C34DCCABC4FE3783217A32" descr="风险防控图"/>
        <xdr:cNvPicPr/>
      </xdr:nvPicPr>
      <xdr:blipFill>
        <a:blip r:embed="rId12"/>
        <a:stretch>
          <a:fillRect/>
        </a:stretch>
      </xdr:blipFill>
      <xdr:spPr>
        <a:xfrm>
          <a:off x="0" y="0"/>
          <a:ext cx="7110095" cy="10058400"/>
        </a:xfrm>
        <a:prstGeom prst="rect">
          <a:avLst/>
        </a:prstGeom>
      </xdr:spPr>
    </xdr:pic>
  </etc:cellImage>
  <etc:cellImage>
    <xdr:pic>
      <xdr:nvPicPr>
        <xdr:cNvPr id="308" name="ID_B07690EC376E4221BF2305B2E3437730" descr="风险防控图"/>
        <xdr:cNvPicPr/>
      </xdr:nvPicPr>
      <xdr:blipFill>
        <a:blip r:embed="rId12"/>
        <a:stretch>
          <a:fillRect/>
        </a:stretch>
      </xdr:blipFill>
      <xdr:spPr>
        <a:xfrm>
          <a:off x="0" y="0"/>
          <a:ext cx="7110095" cy="10058400"/>
        </a:xfrm>
        <a:prstGeom prst="rect">
          <a:avLst/>
        </a:prstGeom>
      </xdr:spPr>
    </xdr:pic>
  </etc:cellImage>
  <etc:cellImage>
    <xdr:pic>
      <xdr:nvPicPr>
        <xdr:cNvPr id="309" name="ID_703AF7D5308E4EB599C235E15D65258C" descr="风险防控图"/>
        <xdr:cNvPicPr/>
      </xdr:nvPicPr>
      <xdr:blipFill>
        <a:blip r:embed="rId12"/>
        <a:stretch>
          <a:fillRect/>
        </a:stretch>
      </xdr:blipFill>
      <xdr:spPr>
        <a:xfrm>
          <a:off x="0" y="0"/>
          <a:ext cx="7110095" cy="10058400"/>
        </a:xfrm>
        <a:prstGeom prst="rect">
          <a:avLst/>
        </a:prstGeom>
      </xdr:spPr>
    </xdr:pic>
  </etc:cellImage>
  <etc:cellImage>
    <xdr:pic>
      <xdr:nvPicPr>
        <xdr:cNvPr id="310" name="ID_CFC07338D6EF480A9032DD18D4763526" descr="风险防控图"/>
        <xdr:cNvPicPr/>
      </xdr:nvPicPr>
      <xdr:blipFill>
        <a:blip r:embed="rId12"/>
        <a:stretch>
          <a:fillRect/>
        </a:stretch>
      </xdr:blipFill>
      <xdr:spPr>
        <a:xfrm>
          <a:off x="0" y="0"/>
          <a:ext cx="7110095" cy="10058400"/>
        </a:xfrm>
        <a:prstGeom prst="rect">
          <a:avLst/>
        </a:prstGeom>
      </xdr:spPr>
    </xdr:pic>
  </etc:cellImage>
  <etc:cellImage>
    <xdr:pic>
      <xdr:nvPicPr>
        <xdr:cNvPr id="311" name="ID_C1271B27AC404059A57CAF8C5E65D807" descr="风险防控图"/>
        <xdr:cNvPicPr/>
      </xdr:nvPicPr>
      <xdr:blipFill>
        <a:blip r:embed="rId12"/>
        <a:stretch>
          <a:fillRect/>
        </a:stretch>
      </xdr:blipFill>
      <xdr:spPr>
        <a:xfrm>
          <a:off x="0" y="0"/>
          <a:ext cx="7110095" cy="10058400"/>
        </a:xfrm>
        <a:prstGeom prst="rect">
          <a:avLst/>
        </a:prstGeom>
      </xdr:spPr>
    </xdr:pic>
  </etc:cellImage>
  <etc:cellImage>
    <xdr:pic>
      <xdr:nvPicPr>
        <xdr:cNvPr id="312" name="ID_7E63A7260C7845C2AF62F34A0C008545" descr="风险防控图"/>
        <xdr:cNvPicPr/>
      </xdr:nvPicPr>
      <xdr:blipFill>
        <a:blip r:embed="rId12"/>
        <a:stretch>
          <a:fillRect/>
        </a:stretch>
      </xdr:blipFill>
      <xdr:spPr>
        <a:xfrm>
          <a:off x="0" y="0"/>
          <a:ext cx="7110095" cy="10058400"/>
        </a:xfrm>
        <a:prstGeom prst="rect">
          <a:avLst/>
        </a:prstGeom>
      </xdr:spPr>
    </xdr:pic>
  </etc:cellImage>
  <etc:cellImage>
    <xdr:pic>
      <xdr:nvPicPr>
        <xdr:cNvPr id="313" name="ID_D402D3C59C5D44B6949E99DCE3F9943D" descr="风险防控图"/>
        <xdr:cNvPicPr/>
      </xdr:nvPicPr>
      <xdr:blipFill>
        <a:blip r:embed="rId12"/>
        <a:stretch>
          <a:fillRect/>
        </a:stretch>
      </xdr:blipFill>
      <xdr:spPr>
        <a:xfrm>
          <a:off x="0" y="0"/>
          <a:ext cx="7110095" cy="10058400"/>
        </a:xfrm>
        <a:prstGeom prst="rect">
          <a:avLst/>
        </a:prstGeom>
      </xdr:spPr>
    </xdr:pic>
  </etc:cellImage>
  <etc:cellImage>
    <xdr:pic>
      <xdr:nvPicPr>
        <xdr:cNvPr id="314" name="ID_565D5205B7BA4EF89AFCF43BD8657905" descr="风险防控图"/>
        <xdr:cNvPicPr/>
      </xdr:nvPicPr>
      <xdr:blipFill>
        <a:blip r:embed="rId12"/>
        <a:stretch>
          <a:fillRect/>
        </a:stretch>
      </xdr:blipFill>
      <xdr:spPr>
        <a:xfrm>
          <a:off x="0" y="0"/>
          <a:ext cx="7110095" cy="10058400"/>
        </a:xfrm>
        <a:prstGeom prst="rect">
          <a:avLst/>
        </a:prstGeom>
      </xdr:spPr>
    </xdr:pic>
  </etc:cellImage>
  <etc:cellImage>
    <xdr:pic>
      <xdr:nvPicPr>
        <xdr:cNvPr id="315" name="ID_2DAB10003D7542C7BC2618D743A8EE45" descr="风险防控图"/>
        <xdr:cNvPicPr/>
      </xdr:nvPicPr>
      <xdr:blipFill>
        <a:blip r:embed="rId12"/>
        <a:stretch>
          <a:fillRect/>
        </a:stretch>
      </xdr:blipFill>
      <xdr:spPr>
        <a:xfrm>
          <a:off x="0" y="0"/>
          <a:ext cx="7110095" cy="10058400"/>
        </a:xfrm>
        <a:prstGeom prst="rect">
          <a:avLst/>
        </a:prstGeom>
      </xdr:spPr>
    </xdr:pic>
  </etc:cellImage>
  <etc:cellImage>
    <xdr:pic>
      <xdr:nvPicPr>
        <xdr:cNvPr id="316" name="ID_41A4B58286BE4A979137865B5D7EB516" descr="风险防控图"/>
        <xdr:cNvPicPr/>
      </xdr:nvPicPr>
      <xdr:blipFill>
        <a:blip r:embed="rId12"/>
        <a:stretch>
          <a:fillRect/>
        </a:stretch>
      </xdr:blipFill>
      <xdr:spPr>
        <a:xfrm>
          <a:off x="0" y="0"/>
          <a:ext cx="7110095" cy="10058400"/>
        </a:xfrm>
        <a:prstGeom prst="rect">
          <a:avLst/>
        </a:prstGeom>
      </xdr:spPr>
    </xdr:pic>
  </etc:cellImage>
  <etc:cellImage>
    <xdr:pic>
      <xdr:nvPicPr>
        <xdr:cNvPr id="317" name="ID_93E0841370F34F0CBECCFBA8A3912C6F" descr="风险防控图"/>
        <xdr:cNvPicPr/>
      </xdr:nvPicPr>
      <xdr:blipFill>
        <a:blip r:embed="rId12"/>
        <a:stretch>
          <a:fillRect/>
        </a:stretch>
      </xdr:blipFill>
      <xdr:spPr>
        <a:xfrm>
          <a:off x="0" y="0"/>
          <a:ext cx="7110095" cy="10058400"/>
        </a:xfrm>
        <a:prstGeom prst="rect">
          <a:avLst/>
        </a:prstGeom>
      </xdr:spPr>
    </xdr:pic>
  </etc:cellImage>
  <etc:cellImage>
    <xdr:pic>
      <xdr:nvPicPr>
        <xdr:cNvPr id="318" name="ID_062FE8A9A63F4A8FB4200154C586E545" descr="风险防控图"/>
        <xdr:cNvPicPr/>
      </xdr:nvPicPr>
      <xdr:blipFill>
        <a:blip r:embed="rId12"/>
        <a:stretch>
          <a:fillRect/>
        </a:stretch>
      </xdr:blipFill>
      <xdr:spPr>
        <a:xfrm>
          <a:off x="0" y="0"/>
          <a:ext cx="7110095" cy="10058400"/>
        </a:xfrm>
        <a:prstGeom prst="rect">
          <a:avLst/>
        </a:prstGeom>
      </xdr:spPr>
    </xdr:pic>
  </etc:cellImage>
  <etc:cellImage>
    <xdr:pic>
      <xdr:nvPicPr>
        <xdr:cNvPr id="319" name="ID_FA81AC23422E4E2C928C330C7D084897" descr="风险防控图"/>
        <xdr:cNvPicPr/>
      </xdr:nvPicPr>
      <xdr:blipFill>
        <a:blip r:embed="rId12"/>
        <a:stretch>
          <a:fillRect/>
        </a:stretch>
      </xdr:blipFill>
      <xdr:spPr>
        <a:xfrm>
          <a:off x="0" y="0"/>
          <a:ext cx="7110095" cy="10058400"/>
        </a:xfrm>
        <a:prstGeom prst="rect">
          <a:avLst/>
        </a:prstGeom>
      </xdr:spPr>
    </xdr:pic>
  </etc:cellImage>
  <etc:cellImage>
    <xdr:pic>
      <xdr:nvPicPr>
        <xdr:cNvPr id="320" name="ID_0BB99B96E426434EA80C0E3983CB64B6" descr="风险防控图"/>
        <xdr:cNvPicPr/>
      </xdr:nvPicPr>
      <xdr:blipFill>
        <a:blip r:embed="rId12"/>
        <a:stretch>
          <a:fillRect/>
        </a:stretch>
      </xdr:blipFill>
      <xdr:spPr>
        <a:xfrm>
          <a:off x="0" y="0"/>
          <a:ext cx="7110095" cy="10058400"/>
        </a:xfrm>
        <a:prstGeom prst="rect">
          <a:avLst/>
        </a:prstGeom>
      </xdr:spPr>
    </xdr:pic>
  </etc:cellImage>
  <etc:cellImage>
    <xdr:pic>
      <xdr:nvPicPr>
        <xdr:cNvPr id="321" name="ID_444F35F9DE984D0AA0468DEA3E0F63F6" descr="风险防控图"/>
        <xdr:cNvPicPr/>
      </xdr:nvPicPr>
      <xdr:blipFill>
        <a:blip r:embed="rId12"/>
        <a:stretch>
          <a:fillRect/>
        </a:stretch>
      </xdr:blipFill>
      <xdr:spPr>
        <a:xfrm>
          <a:off x="0" y="0"/>
          <a:ext cx="7110095" cy="10058400"/>
        </a:xfrm>
        <a:prstGeom prst="rect">
          <a:avLst/>
        </a:prstGeom>
      </xdr:spPr>
    </xdr:pic>
  </etc:cellImage>
  <etc:cellImage>
    <xdr:pic>
      <xdr:nvPicPr>
        <xdr:cNvPr id="322" name="ID_5DD4A02988424A22A133637C473B0F95" descr="风险防控图"/>
        <xdr:cNvPicPr/>
      </xdr:nvPicPr>
      <xdr:blipFill>
        <a:blip r:embed="rId12"/>
        <a:stretch>
          <a:fillRect/>
        </a:stretch>
      </xdr:blipFill>
      <xdr:spPr>
        <a:xfrm>
          <a:off x="0" y="0"/>
          <a:ext cx="7110095" cy="10058400"/>
        </a:xfrm>
        <a:prstGeom prst="rect">
          <a:avLst/>
        </a:prstGeom>
      </xdr:spPr>
    </xdr:pic>
  </etc:cellImage>
  <etc:cellImage>
    <xdr:pic>
      <xdr:nvPicPr>
        <xdr:cNvPr id="323" name="ID_E5D05659EA824AC7A2715FD3F5D8F424" descr="风险防控图"/>
        <xdr:cNvPicPr/>
      </xdr:nvPicPr>
      <xdr:blipFill>
        <a:blip r:embed="rId12"/>
        <a:stretch>
          <a:fillRect/>
        </a:stretch>
      </xdr:blipFill>
      <xdr:spPr>
        <a:xfrm>
          <a:off x="0" y="0"/>
          <a:ext cx="7110095" cy="10058400"/>
        </a:xfrm>
        <a:prstGeom prst="rect">
          <a:avLst/>
        </a:prstGeom>
      </xdr:spPr>
    </xdr:pic>
  </etc:cellImage>
  <etc:cellImage>
    <xdr:pic>
      <xdr:nvPicPr>
        <xdr:cNvPr id="324" name="ID_E7CC029BDC3142F4BEE8D724F74AE215" descr="风险防控图"/>
        <xdr:cNvPicPr/>
      </xdr:nvPicPr>
      <xdr:blipFill>
        <a:blip r:embed="rId12"/>
        <a:stretch>
          <a:fillRect/>
        </a:stretch>
      </xdr:blipFill>
      <xdr:spPr>
        <a:xfrm>
          <a:off x="0" y="0"/>
          <a:ext cx="7110095" cy="10058400"/>
        </a:xfrm>
        <a:prstGeom prst="rect">
          <a:avLst/>
        </a:prstGeom>
      </xdr:spPr>
    </xdr:pic>
  </etc:cellImage>
  <etc:cellImage>
    <xdr:pic>
      <xdr:nvPicPr>
        <xdr:cNvPr id="325" name="ID_01D6647CEFB6402B9ABF853263B73112" descr="风险防控图"/>
        <xdr:cNvPicPr/>
      </xdr:nvPicPr>
      <xdr:blipFill>
        <a:blip r:embed="rId12"/>
        <a:stretch>
          <a:fillRect/>
        </a:stretch>
      </xdr:blipFill>
      <xdr:spPr>
        <a:xfrm>
          <a:off x="0" y="0"/>
          <a:ext cx="7110095" cy="10058400"/>
        </a:xfrm>
        <a:prstGeom prst="rect">
          <a:avLst/>
        </a:prstGeom>
      </xdr:spPr>
    </xdr:pic>
  </etc:cellImage>
  <etc:cellImage>
    <xdr:pic>
      <xdr:nvPicPr>
        <xdr:cNvPr id="326" name="ID_5E4913CE63E14AD5994A7A666D4344B3" descr="风险防控图"/>
        <xdr:cNvPicPr/>
      </xdr:nvPicPr>
      <xdr:blipFill>
        <a:blip r:embed="rId12"/>
        <a:stretch>
          <a:fillRect/>
        </a:stretch>
      </xdr:blipFill>
      <xdr:spPr>
        <a:xfrm>
          <a:off x="0" y="0"/>
          <a:ext cx="7110095" cy="10058400"/>
        </a:xfrm>
        <a:prstGeom prst="rect">
          <a:avLst/>
        </a:prstGeom>
      </xdr:spPr>
    </xdr:pic>
  </etc:cellImage>
  <etc:cellImage>
    <xdr:pic>
      <xdr:nvPicPr>
        <xdr:cNvPr id="327" name="ID_0670E08BEA994A579B51BB94D7FD726D" descr="风险防控图"/>
        <xdr:cNvPicPr/>
      </xdr:nvPicPr>
      <xdr:blipFill>
        <a:blip r:embed="rId12"/>
        <a:stretch>
          <a:fillRect/>
        </a:stretch>
      </xdr:blipFill>
      <xdr:spPr>
        <a:xfrm>
          <a:off x="0" y="0"/>
          <a:ext cx="7110095" cy="10058400"/>
        </a:xfrm>
        <a:prstGeom prst="rect">
          <a:avLst/>
        </a:prstGeom>
      </xdr:spPr>
    </xdr:pic>
  </etc:cellImage>
  <etc:cellImage>
    <xdr:pic>
      <xdr:nvPicPr>
        <xdr:cNvPr id="328" name="ID_C3A3B661923344E28780C3439F220E71" descr="风险防控图"/>
        <xdr:cNvPicPr/>
      </xdr:nvPicPr>
      <xdr:blipFill>
        <a:blip r:embed="rId12"/>
        <a:stretch>
          <a:fillRect/>
        </a:stretch>
      </xdr:blipFill>
      <xdr:spPr>
        <a:xfrm>
          <a:off x="0" y="0"/>
          <a:ext cx="7110095" cy="10058400"/>
        </a:xfrm>
        <a:prstGeom prst="rect">
          <a:avLst/>
        </a:prstGeom>
      </xdr:spPr>
    </xdr:pic>
  </etc:cellImage>
  <etc:cellImage>
    <xdr:pic>
      <xdr:nvPicPr>
        <xdr:cNvPr id="329" name="ID_2F6F7CFDFA7045E08D63B9C61794F1D8" descr="风险防控图"/>
        <xdr:cNvPicPr/>
      </xdr:nvPicPr>
      <xdr:blipFill>
        <a:blip r:embed="rId12"/>
        <a:stretch>
          <a:fillRect/>
        </a:stretch>
      </xdr:blipFill>
      <xdr:spPr>
        <a:xfrm>
          <a:off x="0" y="0"/>
          <a:ext cx="7110095" cy="10058400"/>
        </a:xfrm>
        <a:prstGeom prst="rect">
          <a:avLst/>
        </a:prstGeom>
      </xdr:spPr>
    </xdr:pic>
  </etc:cellImage>
  <etc:cellImage>
    <xdr:pic>
      <xdr:nvPicPr>
        <xdr:cNvPr id="330" name="ID_A3DE3D63E8154752BAC51C41E78089D2" descr="风险防控图"/>
        <xdr:cNvPicPr/>
      </xdr:nvPicPr>
      <xdr:blipFill>
        <a:blip r:embed="rId12"/>
        <a:stretch>
          <a:fillRect/>
        </a:stretch>
      </xdr:blipFill>
      <xdr:spPr>
        <a:xfrm>
          <a:off x="0" y="0"/>
          <a:ext cx="7110095" cy="10058400"/>
        </a:xfrm>
        <a:prstGeom prst="rect">
          <a:avLst/>
        </a:prstGeom>
      </xdr:spPr>
    </xdr:pic>
  </etc:cellImage>
  <etc:cellImage>
    <xdr:pic>
      <xdr:nvPicPr>
        <xdr:cNvPr id="331" name="ID_366CA672363A4A74A2D8AF5F7914B888" descr="风险防控图"/>
        <xdr:cNvPicPr/>
      </xdr:nvPicPr>
      <xdr:blipFill>
        <a:blip r:embed="rId12"/>
        <a:stretch>
          <a:fillRect/>
        </a:stretch>
      </xdr:blipFill>
      <xdr:spPr>
        <a:xfrm>
          <a:off x="0" y="0"/>
          <a:ext cx="7110095" cy="10058400"/>
        </a:xfrm>
        <a:prstGeom prst="rect">
          <a:avLst/>
        </a:prstGeom>
      </xdr:spPr>
    </xdr:pic>
  </etc:cellImage>
  <etc:cellImage>
    <xdr:pic>
      <xdr:nvPicPr>
        <xdr:cNvPr id="332" name="ID_B71FA79C599A4BBA834E309AD4B9BE78" descr="风险防控图"/>
        <xdr:cNvPicPr/>
      </xdr:nvPicPr>
      <xdr:blipFill>
        <a:blip r:embed="rId12"/>
        <a:stretch>
          <a:fillRect/>
        </a:stretch>
      </xdr:blipFill>
      <xdr:spPr>
        <a:xfrm>
          <a:off x="0" y="0"/>
          <a:ext cx="7110095" cy="10058400"/>
        </a:xfrm>
        <a:prstGeom prst="rect">
          <a:avLst/>
        </a:prstGeom>
      </xdr:spPr>
    </xdr:pic>
  </etc:cellImage>
  <etc:cellImage>
    <xdr:pic>
      <xdr:nvPicPr>
        <xdr:cNvPr id="333" name="ID_B173F45FAEEF42F293C48962008016BF" descr="风险防控图"/>
        <xdr:cNvPicPr/>
      </xdr:nvPicPr>
      <xdr:blipFill>
        <a:blip r:embed="rId12"/>
        <a:stretch>
          <a:fillRect/>
        </a:stretch>
      </xdr:blipFill>
      <xdr:spPr>
        <a:xfrm>
          <a:off x="0" y="0"/>
          <a:ext cx="7110095" cy="10058400"/>
        </a:xfrm>
        <a:prstGeom prst="rect">
          <a:avLst/>
        </a:prstGeom>
      </xdr:spPr>
    </xdr:pic>
  </etc:cellImage>
  <etc:cellImage>
    <xdr:pic>
      <xdr:nvPicPr>
        <xdr:cNvPr id="334" name="ID_BD57A1B2EE4C4956BB3D43F3D840445B" descr="风险防控图"/>
        <xdr:cNvPicPr/>
      </xdr:nvPicPr>
      <xdr:blipFill>
        <a:blip r:embed="rId12"/>
        <a:stretch>
          <a:fillRect/>
        </a:stretch>
      </xdr:blipFill>
      <xdr:spPr>
        <a:xfrm>
          <a:off x="0" y="0"/>
          <a:ext cx="7110095" cy="10058400"/>
        </a:xfrm>
        <a:prstGeom prst="rect">
          <a:avLst/>
        </a:prstGeom>
      </xdr:spPr>
    </xdr:pic>
  </etc:cellImage>
  <etc:cellImage>
    <xdr:pic>
      <xdr:nvPicPr>
        <xdr:cNvPr id="335" name="ID_B86AD6A1296845ED81A2097409B5E454" descr="风险防控图"/>
        <xdr:cNvPicPr/>
      </xdr:nvPicPr>
      <xdr:blipFill>
        <a:blip r:embed="rId12"/>
        <a:stretch>
          <a:fillRect/>
        </a:stretch>
      </xdr:blipFill>
      <xdr:spPr>
        <a:xfrm>
          <a:off x="0" y="0"/>
          <a:ext cx="7110095" cy="10058400"/>
        </a:xfrm>
        <a:prstGeom prst="rect">
          <a:avLst/>
        </a:prstGeom>
      </xdr:spPr>
    </xdr:pic>
  </etc:cellImage>
  <etc:cellImage>
    <xdr:pic>
      <xdr:nvPicPr>
        <xdr:cNvPr id="336" name="ID_35DB29E69EED459D9FE8D97A326BFE5E" descr="风险防控图"/>
        <xdr:cNvPicPr/>
      </xdr:nvPicPr>
      <xdr:blipFill>
        <a:blip r:embed="rId12"/>
        <a:stretch>
          <a:fillRect/>
        </a:stretch>
      </xdr:blipFill>
      <xdr:spPr>
        <a:xfrm>
          <a:off x="0" y="0"/>
          <a:ext cx="7110095" cy="10058400"/>
        </a:xfrm>
        <a:prstGeom prst="rect">
          <a:avLst/>
        </a:prstGeom>
      </xdr:spPr>
    </xdr:pic>
  </etc:cellImage>
  <etc:cellImage>
    <xdr:pic>
      <xdr:nvPicPr>
        <xdr:cNvPr id="337" name="ID_B0CE6151CDA54C628D078B9DB10D9BDE" descr="风险防控图"/>
        <xdr:cNvPicPr/>
      </xdr:nvPicPr>
      <xdr:blipFill>
        <a:blip r:embed="rId12"/>
        <a:stretch>
          <a:fillRect/>
        </a:stretch>
      </xdr:blipFill>
      <xdr:spPr>
        <a:xfrm>
          <a:off x="0" y="0"/>
          <a:ext cx="7110095" cy="10058400"/>
        </a:xfrm>
        <a:prstGeom prst="rect">
          <a:avLst/>
        </a:prstGeom>
      </xdr:spPr>
    </xdr:pic>
  </etc:cellImage>
  <etc:cellImage>
    <xdr:pic>
      <xdr:nvPicPr>
        <xdr:cNvPr id="338" name="ID_6A6E943ABE3F43F4A9BF246181998B56" descr="风险防控图"/>
        <xdr:cNvPicPr/>
      </xdr:nvPicPr>
      <xdr:blipFill>
        <a:blip r:embed="rId12"/>
        <a:stretch>
          <a:fillRect/>
        </a:stretch>
      </xdr:blipFill>
      <xdr:spPr>
        <a:xfrm>
          <a:off x="0" y="0"/>
          <a:ext cx="7110095" cy="10058400"/>
        </a:xfrm>
        <a:prstGeom prst="rect">
          <a:avLst/>
        </a:prstGeom>
      </xdr:spPr>
    </xdr:pic>
  </etc:cellImage>
  <etc:cellImage>
    <xdr:pic>
      <xdr:nvPicPr>
        <xdr:cNvPr id="339" name="ID_910F16FFA949489D8710CCEDC95DB405" descr="风险防控图"/>
        <xdr:cNvPicPr/>
      </xdr:nvPicPr>
      <xdr:blipFill>
        <a:blip r:embed="rId12"/>
        <a:stretch>
          <a:fillRect/>
        </a:stretch>
      </xdr:blipFill>
      <xdr:spPr>
        <a:xfrm>
          <a:off x="0" y="0"/>
          <a:ext cx="7110095" cy="10058400"/>
        </a:xfrm>
        <a:prstGeom prst="rect">
          <a:avLst/>
        </a:prstGeom>
      </xdr:spPr>
    </xdr:pic>
  </etc:cellImage>
  <etc:cellImage>
    <xdr:pic>
      <xdr:nvPicPr>
        <xdr:cNvPr id="340" name="ID_CEEB02C606D84F519A03B8923E8019DA" descr="风险防控图"/>
        <xdr:cNvPicPr/>
      </xdr:nvPicPr>
      <xdr:blipFill>
        <a:blip r:embed="rId12"/>
        <a:stretch>
          <a:fillRect/>
        </a:stretch>
      </xdr:blipFill>
      <xdr:spPr>
        <a:xfrm>
          <a:off x="0" y="0"/>
          <a:ext cx="7110095" cy="10058400"/>
        </a:xfrm>
        <a:prstGeom prst="rect">
          <a:avLst/>
        </a:prstGeom>
      </xdr:spPr>
    </xdr:pic>
  </etc:cellImage>
  <etc:cellImage>
    <xdr:pic>
      <xdr:nvPicPr>
        <xdr:cNvPr id="341" name="ID_A6140824DB8D4943A3933CB8ED113B02" descr="风险防控图"/>
        <xdr:cNvPicPr/>
      </xdr:nvPicPr>
      <xdr:blipFill>
        <a:blip r:embed="rId12"/>
        <a:stretch>
          <a:fillRect/>
        </a:stretch>
      </xdr:blipFill>
      <xdr:spPr>
        <a:xfrm>
          <a:off x="0" y="0"/>
          <a:ext cx="7110095" cy="10058400"/>
        </a:xfrm>
        <a:prstGeom prst="rect">
          <a:avLst/>
        </a:prstGeom>
      </xdr:spPr>
    </xdr:pic>
  </etc:cellImage>
  <etc:cellImage>
    <xdr:pic>
      <xdr:nvPicPr>
        <xdr:cNvPr id="342" name="ID_3E0595D5D3EB4BE8B637A378F181886E" descr="风险防控图"/>
        <xdr:cNvPicPr/>
      </xdr:nvPicPr>
      <xdr:blipFill>
        <a:blip r:embed="rId12"/>
        <a:stretch>
          <a:fillRect/>
        </a:stretch>
      </xdr:blipFill>
      <xdr:spPr>
        <a:xfrm>
          <a:off x="0" y="0"/>
          <a:ext cx="7110095" cy="10058400"/>
        </a:xfrm>
        <a:prstGeom prst="rect">
          <a:avLst/>
        </a:prstGeom>
      </xdr:spPr>
    </xdr:pic>
  </etc:cellImage>
  <etc:cellImage>
    <xdr:pic>
      <xdr:nvPicPr>
        <xdr:cNvPr id="343" name="ID_F6895CBA880E4C1ABBE50A18D1C43FB5" descr="风险防控图"/>
        <xdr:cNvPicPr/>
      </xdr:nvPicPr>
      <xdr:blipFill>
        <a:blip r:embed="rId12"/>
        <a:stretch>
          <a:fillRect/>
        </a:stretch>
      </xdr:blipFill>
      <xdr:spPr>
        <a:xfrm>
          <a:off x="0" y="0"/>
          <a:ext cx="7110095" cy="10058400"/>
        </a:xfrm>
        <a:prstGeom prst="rect">
          <a:avLst/>
        </a:prstGeom>
      </xdr:spPr>
    </xdr:pic>
  </etc:cellImage>
  <etc:cellImage>
    <xdr:pic>
      <xdr:nvPicPr>
        <xdr:cNvPr id="344" name="ID_D0A24345B8D74BE2B87462ED6B381D63" descr="风险防控图"/>
        <xdr:cNvPicPr/>
      </xdr:nvPicPr>
      <xdr:blipFill>
        <a:blip r:embed="rId12"/>
        <a:stretch>
          <a:fillRect/>
        </a:stretch>
      </xdr:blipFill>
      <xdr:spPr>
        <a:xfrm>
          <a:off x="0" y="0"/>
          <a:ext cx="7110095" cy="10058400"/>
        </a:xfrm>
        <a:prstGeom prst="rect">
          <a:avLst/>
        </a:prstGeom>
      </xdr:spPr>
    </xdr:pic>
  </etc:cellImage>
  <etc:cellImage>
    <xdr:pic>
      <xdr:nvPicPr>
        <xdr:cNvPr id="345" name="ID_C35643E4DE0843F2A734D656337FE8EC" descr="风险防控图"/>
        <xdr:cNvPicPr/>
      </xdr:nvPicPr>
      <xdr:blipFill>
        <a:blip r:embed="rId12"/>
        <a:stretch>
          <a:fillRect/>
        </a:stretch>
      </xdr:blipFill>
      <xdr:spPr>
        <a:xfrm>
          <a:off x="0" y="0"/>
          <a:ext cx="7110095" cy="10058400"/>
        </a:xfrm>
        <a:prstGeom prst="rect">
          <a:avLst/>
        </a:prstGeom>
      </xdr:spPr>
    </xdr:pic>
  </etc:cellImage>
  <etc:cellImage>
    <xdr:pic>
      <xdr:nvPicPr>
        <xdr:cNvPr id="346" name="ID_5E35D7CE065C4797BCF5966CA5A1A04E" descr="风险防控图"/>
        <xdr:cNvPicPr/>
      </xdr:nvPicPr>
      <xdr:blipFill>
        <a:blip r:embed="rId12"/>
        <a:stretch>
          <a:fillRect/>
        </a:stretch>
      </xdr:blipFill>
      <xdr:spPr>
        <a:xfrm>
          <a:off x="0" y="0"/>
          <a:ext cx="7110095" cy="10058400"/>
        </a:xfrm>
        <a:prstGeom prst="rect">
          <a:avLst/>
        </a:prstGeom>
      </xdr:spPr>
    </xdr:pic>
  </etc:cellImage>
  <etc:cellImage>
    <xdr:pic>
      <xdr:nvPicPr>
        <xdr:cNvPr id="347" name="ID_BDB02DCABA17456C8E28674395A681D3" descr="风险防控图"/>
        <xdr:cNvPicPr/>
      </xdr:nvPicPr>
      <xdr:blipFill>
        <a:blip r:embed="rId12"/>
        <a:stretch>
          <a:fillRect/>
        </a:stretch>
      </xdr:blipFill>
      <xdr:spPr>
        <a:xfrm>
          <a:off x="0" y="0"/>
          <a:ext cx="7110095" cy="10058400"/>
        </a:xfrm>
        <a:prstGeom prst="rect">
          <a:avLst/>
        </a:prstGeom>
      </xdr:spPr>
    </xdr:pic>
  </etc:cellImage>
  <etc:cellImage>
    <xdr:pic>
      <xdr:nvPicPr>
        <xdr:cNvPr id="348" name="ID_C0B5032CB04640BE869AE0D3813D7B68" descr="风险防控图"/>
        <xdr:cNvPicPr/>
      </xdr:nvPicPr>
      <xdr:blipFill>
        <a:blip r:embed="rId12"/>
        <a:stretch>
          <a:fillRect/>
        </a:stretch>
      </xdr:blipFill>
      <xdr:spPr>
        <a:xfrm>
          <a:off x="0" y="0"/>
          <a:ext cx="7110095" cy="10058400"/>
        </a:xfrm>
        <a:prstGeom prst="rect">
          <a:avLst/>
        </a:prstGeom>
      </xdr:spPr>
    </xdr:pic>
  </etc:cellImage>
  <etc:cellImage>
    <xdr:pic>
      <xdr:nvPicPr>
        <xdr:cNvPr id="349" name="ID_DED5AE271410472099F9156A32B173B2" descr="风险防控图"/>
        <xdr:cNvPicPr/>
      </xdr:nvPicPr>
      <xdr:blipFill>
        <a:blip r:embed="rId12"/>
        <a:stretch>
          <a:fillRect/>
        </a:stretch>
      </xdr:blipFill>
      <xdr:spPr>
        <a:xfrm>
          <a:off x="0" y="0"/>
          <a:ext cx="7110095" cy="10058400"/>
        </a:xfrm>
        <a:prstGeom prst="rect">
          <a:avLst/>
        </a:prstGeom>
      </xdr:spPr>
    </xdr:pic>
  </etc:cellImage>
  <etc:cellImage>
    <xdr:pic>
      <xdr:nvPicPr>
        <xdr:cNvPr id="350" name="ID_E1EF12C8D5B64442B1B6B837835348D9" descr="风险防控图"/>
        <xdr:cNvPicPr/>
      </xdr:nvPicPr>
      <xdr:blipFill>
        <a:blip r:embed="rId12"/>
        <a:stretch>
          <a:fillRect/>
        </a:stretch>
      </xdr:blipFill>
      <xdr:spPr>
        <a:xfrm>
          <a:off x="0" y="0"/>
          <a:ext cx="7110095" cy="10058400"/>
        </a:xfrm>
        <a:prstGeom prst="rect">
          <a:avLst/>
        </a:prstGeom>
      </xdr:spPr>
    </xdr:pic>
  </etc:cellImage>
  <etc:cellImage>
    <xdr:pic>
      <xdr:nvPicPr>
        <xdr:cNvPr id="351" name="ID_CA55CD3543B64CA9BE42C203DEDE1F9A" descr="风险防控图"/>
        <xdr:cNvPicPr/>
      </xdr:nvPicPr>
      <xdr:blipFill>
        <a:blip r:embed="rId12"/>
        <a:stretch>
          <a:fillRect/>
        </a:stretch>
      </xdr:blipFill>
      <xdr:spPr>
        <a:xfrm>
          <a:off x="0" y="0"/>
          <a:ext cx="7110095" cy="10058400"/>
        </a:xfrm>
        <a:prstGeom prst="rect">
          <a:avLst/>
        </a:prstGeom>
      </xdr:spPr>
    </xdr:pic>
  </etc:cellImage>
  <etc:cellImage>
    <xdr:pic>
      <xdr:nvPicPr>
        <xdr:cNvPr id="352" name="ID_519166746E8B4BE8ACD1385C59686D04" descr="风险防控图"/>
        <xdr:cNvPicPr/>
      </xdr:nvPicPr>
      <xdr:blipFill>
        <a:blip r:embed="rId12"/>
        <a:stretch>
          <a:fillRect/>
        </a:stretch>
      </xdr:blipFill>
      <xdr:spPr>
        <a:xfrm>
          <a:off x="0" y="0"/>
          <a:ext cx="7110095" cy="10058400"/>
        </a:xfrm>
        <a:prstGeom prst="rect">
          <a:avLst/>
        </a:prstGeom>
      </xdr:spPr>
    </xdr:pic>
  </etc:cellImage>
  <etc:cellImage>
    <xdr:pic>
      <xdr:nvPicPr>
        <xdr:cNvPr id="353" name="ID_FDFA860EBDD64B428C97E99C7C88862E" descr="风险防控图"/>
        <xdr:cNvPicPr/>
      </xdr:nvPicPr>
      <xdr:blipFill>
        <a:blip r:embed="rId12"/>
        <a:stretch>
          <a:fillRect/>
        </a:stretch>
      </xdr:blipFill>
      <xdr:spPr>
        <a:xfrm>
          <a:off x="0" y="0"/>
          <a:ext cx="7110095" cy="10058400"/>
        </a:xfrm>
        <a:prstGeom prst="rect">
          <a:avLst/>
        </a:prstGeom>
      </xdr:spPr>
    </xdr:pic>
  </etc:cellImage>
  <etc:cellImage>
    <xdr:pic>
      <xdr:nvPicPr>
        <xdr:cNvPr id="354" name="ID_3A3278B6627148D8A60924D5E905973A" descr="风险防控图"/>
        <xdr:cNvPicPr/>
      </xdr:nvPicPr>
      <xdr:blipFill>
        <a:blip r:embed="rId12"/>
        <a:stretch>
          <a:fillRect/>
        </a:stretch>
      </xdr:blipFill>
      <xdr:spPr>
        <a:xfrm>
          <a:off x="0" y="0"/>
          <a:ext cx="7110095" cy="10058400"/>
        </a:xfrm>
        <a:prstGeom prst="rect">
          <a:avLst/>
        </a:prstGeom>
      </xdr:spPr>
    </xdr:pic>
  </etc:cellImage>
  <etc:cellImage>
    <xdr:pic>
      <xdr:nvPicPr>
        <xdr:cNvPr id="355" name="ID_05B0D0FA065E404C83CF0E6F55471DD7" descr="风险防控图"/>
        <xdr:cNvPicPr/>
      </xdr:nvPicPr>
      <xdr:blipFill>
        <a:blip r:embed="rId12"/>
        <a:stretch>
          <a:fillRect/>
        </a:stretch>
      </xdr:blipFill>
      <xdr:spPr>
        <a:xfrm>
          <a:off x="0" y="0"/>
          <a:ext cx="7110095" cy="10058400"/>
        </a:xfrm>
        <a:prstGeom prst="rect">
          <a:avLst/>
        </a:prstGeom>
      </xdr:spPr>
    </xdr:pic>
  </etc:cellImage>
  <etc:cellImage>
    <xdr:pic>
      <xdr:nvPicPr>
        <xdr:cNvPr id="356" name="ID_823149784F4148179023B198F683D08E" descr="风险防控图"/>
        <xdr:cNvPicPr/>
      </xdr:nvPicPr>
      <xdr:blipFill>
        <a:blip r:embed="rId12"/>
        <a:stretch>
          <a:fillRect/>
        </a:stretch>
      </xdr:blipFill>
      <xdr:spPr>
        <a:xfrm>
          <a:off x="0" y="0"/>
          <a:ext cx="7110095" cy="10058400"/>
        </a:xfrm>
        <a:prstGeom prst="rect">
          <a:avLst/>
        </a:prstGeom>
      </xdr:spPr>
    </xdr:pic>
  </etc:cellImage>
  <etc:cellImage>
    <xdr:pic>
      <xdr:nvPicPr>
        <xdr:cNvPr id="357" name="ID_806BF056329D426DB1ACA2438C07E23A" descr="风险防控图"/>
        <xdr:cNvPicPr/>
      </xdr:nvPicPr>
      <xdr:blipFill>
        <a:blip r:embed="rId12"/>
        <a:stretch>
          <a:fillRect/>
        </a:stretch>
      </xdr:blipFill>
      <xdr:spPr>
        <a:xfrm>
          <a:off x="0" y="0"/>
          <a:ext cx="7110095" cy="10058400"/>
        </a:xfrm>
        <a:prstGeom prst="rect">
          <a:avLst/>
        </a:prstGeom>
      </xdr:spPr>
    </xdr:pic>
  </etc:cellImage>
  <etc:cellImage>
    <xdr:pic>
      <xdr:nvPicPr>
        <xdr:cNvPr id="358" name="ID_E1FABC6AC75841819993BC6F794C350C" descr="风险防控图"/>
        <xdr:cNvPicPr/>
      </xdr:nvPicPr>
      <xdr:blipFill>
        <a:blip r:embed="rId12"/>
        <a:stretch>
          <a:fillRect/>
        </a:stretch>
      </xdr:blipFill>
      <xdr:spPr>
        <a:xfrm>
          <a:off x="0" y="0"/>
          <a:ext cx="7110095" cy="10058400"/>
        </a:xfrm>
        <a:prstGeom prst="rect">
          <a:avLst/>
        </a:prstGeom>
      </xdr:spPr>
    </xdr:pic>
  </etc:cellImage>
  <etc:cellImage>
    <xdr:pic>
      <xdr:nvPicPr>
        <xdr:cNvPr id="359" name="ID_E37033B0C1EC4387B88E87E51931AF34" descr="风险防控图"/>
        <xdr:cNvPicPr/>
      </xdr:nvPicPr>
      <xdr:blipFill>
        <a:blip r:embed="rId12"/>
        <a:stretch>
          <a:fillRect/>
        </a:stretch>
      </xdr:blipFill>
      <xdr:spPr>
        <a:xfrm>
          <a:off x="0" y="0"/>
          <a:ext cx="7110095" cy="10058400"/>
        </a:xfrm>
        <a:prstGeom prst="rect">
          <a:avLst/>
        </a:prstGeom>
      </xdr:spPr>
    </xdr:pic>
  </etc:cellImage>
  <etc:cellImage>
    <xdr:pic>
      <xdr:nvPicPr>
        <xdr:cNvPr id="360" name="ID_8F2EC022BD174F6D9BA7A31EA30033C4" descr="风险防控图"/>
        <xdr:cNvPicPr/>
      </xdr:nvPicPr>
      <xdr:blipFill>
        <a:blip r:embed="rId12"/>
        <a:stretch>
          <a:fillRect/>
        </a:stretch>
      </xdr:blipFill>
      <xdr:spPr>
        <a:xfrm>
          <a:off x="0" y="0"/>
          <a:ext cx="7110095" cy="10058400"/>
        </a:xfrm>
        <a:prstGeom prst="rect">
          <a:avLst/>
        </a:prstGeom>
      </xdr:spPr>
    </xdr:pic>
  </etc:cellImage>
  <etc:cellImage>
    <xdr:pic>
      <xdr:nvPicPr>
        <xdr:cNvPr id="361" name="ID_D73CF2B9995F4B659CF95FFBCA682E25" descr="风险防控图"/>
        <xdr:cNvPicPr/>
      </xdr:nvPicPr>
      <xdr:blipFill>
        <a:blip r:embed="rId12"/>
        <a:stretch>
          <a:fillRect/>
        </a:stretch>
      </xdr:blipFill>
      <xdr:spPr>
        <a:xfrm>
          <a:off x="0" y="0"/>
          <a:ext cx="7110095" cy="10058400"/>
        </a:xfrm>
        <a:prstGeom prst="rect">
          <a:avLst/>
        </a:prstGeom>
      </xdr:spPr>
    </xdr:pic>
  </etc:cellImage>
  <etc:cellImage>
    <xdr:pic>
      <xdr:nvPicPr>
        <xdr:cNvPr id="362" name="ID_4EC73B60E4FA49D0B39C7D4D24A5127F" descr="风险防控图"/>
        <xdr:cNvPicPr/>
      </xdr:nvPicPr>
      <xdr:blipFill>
        <a:blip r:embed="rId12"/>
        <a:stretch>
          <a:fillRect/>
        </a:stretch>
      </xdr:blipFill>
      <xdr:spPr>
        <a:xfrm>
          <a:off x="0" y="0"/>
          <a:ext cx="7110095" cy="10058400"/>
        </a:xfrm>
        <a:prstGeom prst="rect">
          <a:avLst/>
        </a:prstGeom>
      </xdr:spPr>
    </xdr:pic>
  </etc:cellImage>
  <etc:cellImage>
    <xdr:pic>
      <xdr:nvPicPr>
        <xdr:cNvPr id="363" name="ID_E0DDB9A8FAFF4AB59FFD20B2D65707AE" descr="风险防控图"/>
        <xdr:cNvPicPr/>
      </xdr:nvPicPr>
      <xdr:blipFill>
        <a:blip r:embed="rId12"/>
        <a:stretch>
          <a:fillRect/>
        </a:stretch>
      </xdr:blipFill>
      <xdr:spPr>
        <a:xfrm>
          <a:off x="0" y="0"/>
          <a:ext cx="7110095" cy="10058400"/>
        </a:xfrm>
        <a:prstGeom prst="rect">
          <a:avLst/>
        </a:prstGeom>
      </xdr:spPr>
    </xdr:pic>
  </etc:cellImage>
  <etc:cellImage>
    <xdr:pic>
      <xdr:nvPicPr>
        <xdr:cNvPr id="364" name="ID_7156C2962C574D21ACAC211A9C45798F" descr="风险防控图"/>
        <xdr:cNvPicPr/>
      </xdr:nvPicPr>
      <xdr:blipFill>
        <a:blip r:embed="rId12"/>
        <a:stretch>
          <a:fillRect/>
        </a:stretch>
      </xdr:blipFill>
      <xdr:spPr>
        <a:xfrm>
          <a:off x="0" y="0"/>
          <a:ext cx="7110095" cy="10058400"/>
        </a:xfrm>
        <a:prstGeom prst="rect">
          <a:avLst/>
        </a:prstGeom>
      </xdr:spPr>
    </xdr:pic>
  </etc:cellImage>
  <etc:cellImage>
    <xdr:pic>
      <xdr:nvPicPr>
        <xdr:cNvPr id="365" name="ID_8F834E4DCFA24432A56CB6A2ED6682F5" descr="风险防控图"/>
        <xdr:cNvPicPr/>
      </xdr:nvPicPr>
      <xdr:blipFill>
        <a:blip r:embed="rId12"/>
        <a:stretch>
          <a:fillRect/>
        </a:stretch>
      </xdr:blipFill>
      <xdr:spPr>
        <a:xfrm>
          <a:off x="0" y="0"/>
          <a:ext cx="7110095" cy="10058400"/>
        </a:xfrm>
        <a:prstGeom prst="rect">
          <a:avLst/>
        </a:prstGeom>
      </xdr:spPr>
    </xdr:pic>
  </etc:cellImage>
  <etc:cellImage>
    <xdr:pic>
      <xdr:nvPicPr>
        <xdr:cNvPr id="366" name="ID_C8095E64017A48118F1616961AB41039" descr="风险防控图"/>
        <xdr:cNvPicPr/>
      </xdr:nvPicPr>
      <xdr:blipFill>
        <a:blip r:embed="rId12"/>
        <a:stretch>
          <a:fillRect/>
        </a:stretch>
      </xdr:blipFill>
      <xdr:spPr>
        <a:xfrm>
          <a:off x="0" y="0"/>
          <a:ext cx="7110095" cy="10058400"/>
        </a:xfrm>
        <a:prstGeom prst="rect">
          <a:avLst/>
        </a:prstGeom>
      </xdr:spPr>
    </xdr:pic>
  </etc:cellImage>
  <etc:cellImage>
    <xdr:pic>
      <xdr:nvPicPr>
        <xdr:cNvPr id="367" name="ID_5A1ECF50351F4D5D8C7F555A55C7A8C6" descr="风险防控图"/>
        <xdr:cNvPicPr/>
      </xdr:nvPicPr>
      <xdr:blipFill>
        <a:blip r:embed="rId12"/>
        <a:stretch>
          <a:fillRect/>
        </a:stretch>
      </xdr:blipFill>
      <xdr:spPr>
        <a:xfrm>
          <a:off x="0" y="0"/>
          <a:ext cx="7110095" cy="10058400"/>
        </a:xfrm>
        <a:prstGeom prst="rect">
          <a:avLst/>
        </a:prstGeom>
      </xdr:spPr>
    </xdr:pic>
  </etc:cellImage>
  <etc:cellImage>
    <xdr:pic>
      <xdr:nvPicPr>
        <xdr:cNvPr id="368" name="ID_F824B81A5A6644BEB3CDDC504805FF7C" descr="风险防控图"/>
        <xdr:cNvPicPr/>
      </xdr:nvPicPr>
      <xdr:blipFill>
        <a:blip r:embed="rId12"/>
        <a:stretch>
          <a:fillRect/>
        </a:stretch>
      </xdr:blipFill>
      <xdr:spPr>
        <a:xfrm>
          <a:off x="0" y="0"/>
          <a:ext cx="7110095" cy="10058400"/>
        </a:xfrm>
        <a:prstGeom prst="rect">
          <a:avLst/>
        </a:prstGeom>
      </xdr:spPr>
    </xdr:pic>
  </etc:cellImage>
  <etc:cellImage>
    <xdr:pic>
      <xdr:nvPicPr>
        <xdr:cNvPr id="369" name="ID_89021EF7E298410E927E794781D3AFBC" descr="风险防控图"/>
        <xdr:cNvPicPr/>
      </xdr:nvPicPr>
      <xdr:blipFill>
        <a:blip r:embed="rId12"/>
        <a:stretch>
          <a:fillRect/>
        </a:stretch>
      </xdr:blipFill>
      <xdr:spPr>
        <a:xfrm>
          <a:off x="0" y="0"/>
          <a:ext cx="7110095" cy="10058400"/>
        </a:xfrm>
        <a:prstGeom prst="rect">
          <a:avLst/>
        </a:prstGeom>
      </xdr:spPr>
    </xdr:pic>
  </etc:cellImage>
  <etc:cellImage>
    <xdr:pic>
      <xdr:nvPicPr>
        <xdr:cNvPr id="370" name="ID_F1C783DF4D074DA5A6B7B8485FD89BAC" descr="风险防控图"/>
        <xdr:cNvPicPr/>
      </xdr:nvPicPr>
      <xdr:blipFill>
        <a:blip r:embed="rId12"/>
        <a:stretch>
          <a:fillRect/>
        </a:stretch>
      </xdr:blipFill>
      <xdr:spPr>
        <a:xfrm>
          <a:off x="0" y="0"/>
          <a:ext cx="7110095" cy="10058400"/>
        </a:xfrm>
        <a:prstGeom prst="rect">
          <a:avLst/>
        </a:prstGeom>
      </xdr:spPr>
    </xdr:pic>
  </etc:cellImage>
  <etc:cellImage>
    <xdr:pic>
      <xdr:nvPicPr>
        <xdr:cNvPr id="371" name="ID_DB441F3D2FA74A9F87BED7A10A142335" descr="风险防控图"/>
        <xdr:cNvPicPr/>
      </xdr:nvPicPr>
      <xdr:blipFill>
        <a:blip r:embed="rId12"/>
        <a:stretch>
          <a:fillRect/>
        </a:stretch>
      </xdr:blipFill>
      <xdr:spPr>
        <a:xfrm>
          <a:off x="0" y="0"/>
          <a:ext cx="7110095" cy="10058400"/>
        </a:xfrm>
        <a:prstGeom prst="rect">
          <a:avLst/>
        </a:prstGeom>
      </xdr:spPr>
    </xdr:pic>
  </etc:cellImage>
  <etc:cellImage>
    <xdr:pic>
      <xdr:nvPicPr>
        <xdr:cNvPr id="372" name="ID_E559B42C27554A6A860288EE11302222" descr="风险防控图"/>
        <xdr:cNvPicPr/>
      </xdr:nvPicPr>
      <xdr:blipFill>
        <a:blip r:embed="rId12"/>
        <a:stretch>
          <a:fillRect/>
        </a:stretch>
      </xdr:blipFill>
      <xdr:spPr>
        <a:xfrm>
          <a:off x="0" y="0"/>
          <a:ext cx="7110095" cy="10058400"/>
        </a:xfrm>
        <a:prstGeom prst="rect">
          <a:avLst/>
        </a:prstGeom>
      </xdr:spPr>
    </xdr:pic>
  </etc:cellImage>
  <etc:cellImage>
    <xdr:pic>
      <xdr:nvPicPr>
        <xdr:cNvPr id="373" name="ID_CF92631DE3144572A023F3169D99B48C" descr="风险防控图"/>
        <xdr:cNvPicPr/>
      </xdr:nvPicPr>
      <xdr:blipFill>
        <a:blip r:embed="rId12"/>
        <a:stretch>
          <a:fillRect/>
        </a:stretch>
      </xdr:blipFill>
      <xdr:spPr>
        <a:xfrm>
          <a:off x="0" y="0"/>
          <a:ext cx="7110095" cy="10058400"/>
        </a:xfrm>
        <a:prstGeom prst="rect">
          <a:avLst/>
        </a:prstGeom>
      </xdr:spPr>
    </xdr:pic>
  </etc:cellImage>
  <etc:cellImage>
    <xdr:pic>
      <xdr:nvPicPr>
        <xdr:cNvPr id="374" name="ID_777441076F6948D9A10AC5DACE6D04A4" descr="风险防控图"/>
        <xdr:cNvPicPr/>
      </xdr:nvPicPr>
      <xdr:blipFill>
        <a:blip r:embed="rId12"/>
        <a:stretch>
          <a:fillRect/>
        </a:stretch>
      </xdr:blipFill>
      <xdr:spPr>
        <a:xfrm>
          <a:off x="0" y="0"/>
          <a:ext cx="7110095" cy="10058400"/>
        </a:xfrm>
        <a:prstGeom prst="rect">
          <a:avLst/>
        </a:prstGeom>
      </xdr:spPr>
    </xdr:pic>
  </etc:cellImage>
  <etc:cellImage>
    <xdr:pic>
      <xdr:nvPicPr>
        <xdr:cNvPr id="375" name="ID_DC6CD9EED05C4A31B35938DB8CEBA6E7" descr="风险防控图"/>
        <xdr:cNvPicPr/>
      </xdr:nvPicPr>
      <xdr:blipFill>
        <a:blip r:embed="rId12"/>
        <a:stretch>
          <a:fillRect/>
        </a:stretch>
      </xdr:blipFill>
      <xdr:spPr>
        <a:xfrm>
          <a:off x="0" y="0"/>
          <a:ext cx="7110095" cy="10058400"/>
        </a:xfrm>
        <a:prstGeom prst="rect">
          <a:avLst/>
        </a:prstGeom>
      </xdr:spPr>
    </xdr:pic>
  </etc:cellImage>
  <etc:cellImage>
    <xdr:pic>
      <xdr:nvPicPr>
        <xdr:cNvPr id="376" name="ID_C7084D50472F48E0A84580E1DAE3CA79" descr="风险防控图"/>
        <xdr:cNvPicPr/>
      </xdr:nvPicPr>
      <xdr:blipFill>
        <a:blip r:embed="rId12"/>
        <a:stretch>
          <a:fillRect/>
        </a:stretch>
      </xdr:blipFill>
      <xdr:spPr>
        <a:xfrm>
          <a:off x="0" y="0"/>
          <a:ext cx="7110095" cy="10058400"/>
        </a:xfrm>
        <a:prstGeom prst="rect">
          <a:avLst/>
        </a:prstGeom>
      </xdr:spPr>
    </xdr:pic>
  </etc:cellImage>
  <etc:cellImage>
    <xdr:pic>
      <xdr:nvPicPr>
        <xdr:cNvPr id="377" name="ID_019DDA7995124226BBF14D781883E6E3" descr="风险防控图"/>
        <xdr:cNvPicPr/>
      </xdr:nvPicPr>
      <xdr:blipFill>
        <a:blip r:embed="rId12"/>
        <a:stretch>
          <a:fillRect/>
        </a:stretch>
      </xdr:blipFill>
      <xdr:spPr>
        <a:xfrm>
          <a:off x="0" y="0"/>
          <a:ext cx="7110095" cy="10058400"/>
        </a:xfrm>
        <a:prstGeom prst="rect">
          <a:avLst/>
        </a:prstGeom>
      </xdr:spPr>
    </xdr:pic>
  </etc:cellImage>
  <etc:cellImage>
    <xdr:pic>
      <xdr:nvPicPr>
        <xdr:cNvPr id="378" name="ID_F85763627E2E4310AD036902747D9A28" descr="风险防控图"/>
        <xdr:cNvPicPr/>
      </xdr:nvPicPr>
      <xdr:blipFill>
        <a:blip r:embed="rId12"/>
        <a:stretch>
          <a:fillRect/>
        </a:stretch>
      </xdr:blipFill>
      <xdr:spPr>
        <a:xfrm>
          <a:off x="0" y="0"/>
          <a:ext cx="7110095" cy="10058400"/>
        </a:xfrm>
        <a:prstGeom prst="rect">
          <a:avLst/>
        </a:prstGeom>
      </xdr:spPr>
    </xdr:pic>
  </etc:cellImage>
  <etc:cellImage>
    <xdr:pic>
      <xdr:nvPicPr>
        <xdr:cNvPr id="379" name="ID_5A0B62946F87483B844580183F8A66D9" descr="风险防控图"/>
        <xdr:cNvPicPr/>
      </xdr:nvPicPr>
      <xdr:blipFill>
        <a:blip r:embed="rId12"/>
        <a:stretch>
          <a:fillRect/>
        </a:stretch>
      </xdr:blipFill>
      <xdr:spPr>
        <a:xfrm>
          <a:off x="0" y="0"/>
          <a:ext cx="7110095" cy="10058400"/>
        </a:xfrm>
        <a:prstGeom prst="rect">
          <a:avLst/>
        </a:prstGeom>
      </xdr:spPr>
    </xdr:pic>
  </etc:cellImage>
  <etc:cellImage>
    <xdr:pic>
      <xdr:nvPicPr>
        <xdr:cNvPr id="380" name="ID_FBF49088080C4EE8ABAA474276EC849F" descr="风险防控图"/>
        <xdr:cNvPicPr/>
      </xdr:nvPicPr>
      <xdr:blipFill>
        <a:blip r:embed="rId12"/>
        <a:stretch>
          <a:fillRect/>
        </a:stretch>
      </xdr:blipFill>
      <xdr:spPr>
        <a:xfrm>
          <a:off x="0" y="0"/>
          <a:ext cx="7110095" cy="10058400"/>
        </a:xfrm>
        <a:prstGeom prst="rect">
          <a:avLst/>
        </a:prstGeom>
      </xdr:spPr>
    </xdr:pic>
  </etc:cellImage>
  <etc:cellImage>
    <xdr:pic>
      <xdr:nvPicPr>
        <xdr:cNvPr id="381" name="ID_FF8FC8ABC4AE401C9426175F0B73CBB4" descr="风险防控图"/>
        <xdr:cNvPicPr/>
      </xdr:nvPicPr>
      <xdr:blipFill>
        <a:blip r:embed="rId12"/>
        <a:stretch>
          <a:fillRect/>
        </a:stretch>
      </xdr:blipFill>
      <xdr:spPr>
        <a:xfrm>
          <a:off x="0" y="0"/>
          <a:ext cx="7110095" cy="10058400"/>
        </a:xfrm>
        <a:prstGeom prst="rect">
          <a:avLst/>
        </a:prstGeom>
      </xdr:spPr>
    </xdr:pic>
  </etc:cellImage>
  <etc:cellImage>
    <xdr:pic>
      <xdr:nvPicPr>
        <xdr:cNvPr id="382" name="ID_D6ED21E1E5354D32A628C2E9E989B64A" descr="风险防控图"/>
        <xdr:cNvPicPr/>
      </xdr:nvPicPr>
      <xdr:blipFill>
        <a:blip r:embed="rId12"/>
        <a:stretch>
          <a:fillRect/>
        </a:stretch>
      </xdr:blipFill>
      <xdr:spPr>
        <a:xfrm>
          <a:off x="0" y="0"/>
          <a:ext cx="7110095" cy="10058400"/>
        </a:xfrm>
        <a:prstGeom prst="rect">
          <a:avLst/>
        </a:prstGeom>
      </xdr:spPr>
    </xdr:pic>
  </etc:cellImage>
  <etc:cellImage>
    <xdr:pic>
      <xdr:nvPicPr>
        <xdr:cNvPr id="383" name="ID_8129C5924FA34AEFBA86AC52301C4C98" descr="风险防控图"/>
        <xdr:cNvPicPr/>
      </xdr:nvPicPr>
      <xdr:blipFill>
        <a:blip r:embed="rId12"/>
        <a:stretch>
          <a:fillRect/>
        </a:stretch>
      </xdr:blipFill>
      <xdr:spPr>
        <a:xfrm>
          <a:off x="0" y="0"/>
          <a:ext cx="7110095" cy="10058400"/>
        </a:xfrm>
        <a:prstGeom prst="rect">
          <a:avLst/>
        </a:prstGeom>
      </xdr:spPr>
    </xdr:pic>
  </etc:cellImage>
  <etc:cellImage>
    <xdr:pic>
      <xdr:nvPicPr>
        <xdr:cNvPr id="384" name="ID_8CFA4618C1E64097B7EE35DB8D71DF5F" descr="风险防控图"/>
        <xdr:cNvPicPr/>
      </xdr:nvPicPr>
      <xdr:blipFill>
        <a:blip r:embed="rId12"/>
        <a:stretch>
          <a:fillRect/>
        </a:stretch>
      </xdr:blipFill>
      <xdr:spPr>
        <a:xfrm>
          <a:off x="0" y="0"/>
          <a:ext cx="7110095" cy="10058400"/>
        </a:xfrm>
        <a:prstGeom prst="rect">
          <a:avLst/>
        </a:prstGeom>
      </xdr:spPr>
    </xdr:pic>
  </etc:cellImage>
  <etc:cellImage>
    <xdr:pic>
      <xdr:nvPicPr>
        <xdr:cNvPr id="385" name="ID_092C4BFF43FC446C85219602FBA19A4B" descr="风险防控图"/>
        <xdr:cNvPicPr/>
      </xdr:nvPicPr>
      <xdr:blipFill>
        <a:blip r:embed="rId12"/>
        <a:stretch>
          <a:fillRect/>
        </a:stretch>
      </xdr:blipFill>
      <xdr:spPr>
        <a:xfrm>
          <a:off x="0" y="0"/>
          <a:ext cx="7110095" cy="10058400"/>
        </a:xfrm>
        <a:prstGeom prst="rect">
          <a:avLst/>
        </a:prstGeom>
      </xdr:spPr>
    </xdr:pic>
  </etc:cellImage>
  <etc:cellImage>
    <xdr:pic>
      <xdr:nvPicPr>
        <xdr:cNvPr id="386" name="ID_F2FCE5FF05634562A4FDC5B444FF7EB4" descr="风险防控图"/>
        <xdr:cNvPicPr/>
      </xdr:nvPicPr>
      <xdr:blipFill>
        <a:blip r:embed="rId12"/>
        <a:stretch>
          <a:fillRect/>
        </a:stretch>
      </xdr:blipFill>
      <xdr:spPr>
        <a:xfrm>
          <a:off x="0" y="0"/>
          <a:ext cx="7110095" cy="10058400"/>
        </a:xfrm>
        <a:prstGeom prst="rect">
          <a:avLst/>
        </a:prstGeom>
      </xdr:spPr>
    </xdr:pic>
  </etc:cellImage>
  <etc:cellImage>
    <xdr:pic>
      <xdr:nvPicPr>
        <xdr:cNvPr id="387" name="ID_353A77DE78A24720A94F1DC590ADC633" descr="风险防控图"/>
        <xdr:cNvPicPr/>
      </xdr:nvPicPr>
      <xdr:blipFill>
        <a:blip r:embed="rId12"/>
        <a:stretch>
          <a:fillRect/>
        </a:stretch>
      </xdr:blipFill>
      <xdr:spPr>
        <a:xfrm>
          <a:off x="0" y="0"/>
          <a:ext cx="7110095" cy="10058400"/>
        </a:xfrm>
        <a:prstGeom prst="rect">
          <a:avLst/>
        </a:prstGeom>
      </xdr:spPr>
    </xdr:pic>
  </etc:cellImage>
  <etc:cellImage>
    <xdr:pic>
      <xdr:nvPicPr>
        <xdr:cNvPr id="388" name="ID_5F41FEC4360445769ADCF1E25F209607" descr="风险防控图"/>
        <xdr:cNvPicPr/>
      </xdr:nvPicPr>
      <xdr:blipFill>
        <a:blip r:embed="rId12"/>
        <a:stretch>
          <a:fillRect/>
        </a:stretch>
      </xdr:blipFill>
      <xdr:spPr>
        <a:xfrm>
          <a:off x="0" y="0"/>
          <a:ext cx="7110095" cy="10058400"/>
        </a:xfrm>
        <a:prstGeom prst="rect">
          <a:avLst/>
        </a:prstGeom>
      </xdr:spPr>
    </xdr:pic>
  </etc:cellImage>
  <etc:cellImage>
    <xdr:pic>
      <xdr:nvPicPr>
        <xdr:cNvPr id="389" name="ID_3905EE924766490C96C8B4D9B7818687" descr="风险防控图"/>
        <xdr:cNvPicPr/>
      </xdr:nvPicPr>
      <xdr:blipFill>
        <a:blip r:embed="rId12"/>
        <a:stretch>
          <a:fillRect/>
        </a:stretch>
      </xdr:blipFill>
      <xdr:spPr>
        <a:xfrm>
          <a:off x="0" y="0"/>
          <a:ext cx="7110095" cy="10058400"/>
        </a:xfrm>
        <a:prstGeom prst="rect">
          <a:avLst/>
        </a:prstGeom>
      </xdr:spPr>
    </xdr:pic>
  </etc:cellImage>
  <etc:cellImage>
    <xdr:pic>
      <xdr:nvPicPr>
        <xdr:cNvPr id="390" name="ID_F105CE551CE7482EA772C420CE49A9C1" descr="风险防控图"/>
        <xdr:cNvPicPr/>
      </xdr:nvPicPr>
      <xdr:blipFill>
        <a:blip r:embed="rId12"/>
        <a:stretch>
          <a:fillRect/>
        </a:stretch>
      </xdr:blipFill>
      <xdr:spPr>
        <a:xfrm>
          <a:off x="0" y="0"/>
          <a:ext cx="7110095" cy="10058400"/>
        </a:xfrm>
        <a:prstGeom prst="rect">
          <a:avLst/>
        </a:prstGeom>
      </xdr:spPr>
    </xdr:pic>
  </etc:cellImage>
  <etc:cellImage>
    <xdr:pic>
      <xdr:nvPicPr>
        <xdr:cNvPr id="391" name="ID_97F4928ECC6442BF9AE49329BCF3A7D5" descr="风险防控图"/>
        <xdr:cNvPicPr/>
      </xdr:nvPicPr>
      <xdr:blipFill>
        <a:blip r:embed="rId12"/>
        <a:stretch>
          <a:fillRect/>
        </a:stretch>
      </xdr:blipFill>
      <xdr:spPr>
        <a:xfrm>
          <a:off x="0" y="0"/>
          <a:ext cx="7110095" cy="10058400"/>
        </a:xfrm>
        <a:prstGeom prst="rect">
          <a:avLst/>
        </a:prstGeom>
      </xdr:spPr>
    </xdr:pic>
  </etc:cellImage>
  <etc:cellImage>
    <xdr:pic>
      <xdr:nvPicPr>
        <xdr:cNvPr id="392" name="ID_859C7CDEE6E142F096FF05DEFF8C5A77" descr="风险防控图"/>
        <xdr:cNvPicPr/>
      </xdr:nvPicPr>
      <xdr:blipFill>
        <a:blip r:embed="rId12"/>
        <a:stretch>
          <a:fillRect/>
        </a:stretch>
      </xdr:blipFill>
      <xdr:spPr>
        <a:xfrm>
          <a:off x="0" y="0"/>
          <a:ext cx="7110095" cy="10058400"/>
        </a:xfrm>
        <a:prstGeom prst="rect">
          <a:avLst/>
        </a:prstGeom>
      </xdr:spPr>
    </xdr:pic>
  </etc:cellImage>
  <etc:cellImage>
    <xdr:pic>
      <xdr:nvPicPr>
        <xdr:cNvPr id="393" name="ID_EEE1683A3D43418EA77637F348A46F60" descr="风险防控图"/>
        <xdr:cNvPicPr/>
      </xdr:nvPicPr>
      <xdr:blipFill>
        <a:blip r:embed="rId12"/>
        <a:stretch>
          <a:fillRect/>
        </a:stretch>
      </xdr:blipFill>
      <xdr:spPr>
        <a:xfrm>
          <a:off x="0" y="0"/>
          <a:ext cx="7110095" cy="10058400"/>
        </a:xfrm>
        <a:prstGeom prst="rect">
          <a:avLst/>
        </a:prstGeom>
      </xdr:spPr>
    </xdr:pic>
  </etc:cellImage>
  <etc:cellImage>
    <xdr:pic>
      <xdr:nvPicPr>
        <xdr:cNvPr id="394" name="ID_03124718B90243C8B975AA74DAED0424" descr="风险防控图"/>
        <xdr:cNvPicPr/>
      </xdr:nvPicPr>
      <xdr:blipFill>
        <a:blip r:embed="rId12"/>
        <a:stretch>
          <a:fillRect/>
        </a:stretch>
      </xdr:blipFill>
      <xdr:spPr>
        <a:xfrm>
          <a:off x="0" y="0"/>
          <a:ext cx="7110095" cy="10058400"/>
        </a:xfrm>
        <a:prstGeom prst="rect">
          <a:avLst/>
        </a:prstGeom>
      </xdr:spPr>
    </xdr:pic>
  </etc:cellImage>
  <etc:cellImage>
    <xdr:pic>
      <xdr:nvPicPr>
        <xdr:cNvPr id="395" name="ID_8F75224858E24B95963074DCBBD7DFB7" descr="风险防控图"/>
        <xdr:cNvPicPr/>
      </xdr:nvPicPr>
      <xdr:blipFill>
        <a:blip r:embed="rId12"/>
        <a:stretch>
          <a:fillRect/>
        </a:stretch>
      </xdr:blipFill>
      <xdr:spPr>
        <a:xfrm>
          <a:off x="0" y="0"/>
          <a:ext cx="7110095" cy="10058400"/>
        </a:xfrm>
        <a:prstGeom prst="rect">
          <a:avLst/>
        </a:prstGeom>
      </xdr:spPr>
    </xdr:pic>
  </etc:cellImage>
  <etc:cellImage>
    <xdr:pic>
      <xdr:nvPicPr>
        <xdr:cNvPr id="396" name="ID_D760928FF8C84039A6D35C857B754372" descr="风险防控图"/>
        <xdr:cNvPicPr/>
      </xdr:nvPicPr>
      <xdr:blipFill>
        <a:blip r:embed="rId12"/>
        <a:stretch>
          <a:fillRect/>
        </a:stretch>
      </xdr:blipFill>
      <xdr:spPr>
        <a:xfrm>
          <a:off x="0" y="0"/>
          <a:ext cx="7110095" cy="10058400"/>
        </a:xfrm>
        <a:prstGeom prst="rect">
          <a:avLst/>
        </a:prstGeom>
      </xdr:spPr>
    </xdr:pic>
  </etc:cellImage>
  <etc:cellImage>
    <xdr:pic>
      <xdr:nvPicPr>
        <xdr:cNvPr id="397" name="ID_23EC9198DAFD40BDB2AA63955CC7327B" descr="风险防控图"/>
        <xdr:cNvPicPr/>
      </xdr:nvPicPr>
      <xdr:blipFill>
        <a:blip r:embed="rId12"/>
        <a:stretch>
          <a:fillRect/>
        </a:stretch>
      </xdr:blipFill>
      <xdr:spPr>
        <a:xfrm>
          <a:off x="0" y="0"/>
          <a:ext cx="7110095" cy="10058400"/>
        </a:xfrm>
        <a:prstGeom prst="rect">
          <a:avLst/>
        </a:prstGeom>
      </xdr:spPr>
    </xdr:pic>
  </etc:cellImage>
  <etc:cellImage>
    <xdr:pic>
      <xdr:nvPicPr>
        <xdr:cNvPr id="398" name="ID_8D25C961DC8A4B8584CC07C7A54036DA" descr="风险防控图"/>
        <xdr:cNvPicPr/>
      </xdr:nvPicPr>
      <xdr:blipFill>
        <a:blip r:embed="rId12"/>
        <a:stretch>
          <a:fillRect/>
        </a:stretch>
      </xdr:blipFill>
      <xdr:spPr>
        <a:xfrm>
          <a:off x="0" y="0"/>
          <a:ext cx="7110095" cy="10058400"/>
        </a:xfrm>
        <a:prstGeom prst="rect">
          <a:avLst/>
        </a:prstGeom>
      </xdr:spPr>
    </xdr:pic>
  </etc:cellImage>
  <etc:cellImage>
    <xdr:pic>
      <xdr:nvPicPr>
        <xdr:cNvPr id="399" name="ID_9130B05E0D2B420ABCBD536D48F1D9FB" descr="风险防控图"/>
        <xdr:cNvPicPr/>
      </xdr:nvPicPr>
      <xdr:blipFill>
        <a:blip r:embed="rId12"/>
        <a:stretch>
          <a:fillRect/>
        </a:stretch>
      </xdr:blipFill>
      <xdr:spPr>
        <a:xfrm>
          <a:off x="0" y="0"/>
          <a:ext cx="7110095" cy="10058400"/>
        </a:xfrm>
        <a:prstGeom prst="rect">
          <a:avLst/>
        </a:prstGeom>
      </xdr:spPr>
    </xdr:pic>
  </etc:cellImage>
  <etc:cellImage>
    <xdr:pic>
      <xdr:nvPicPr>
        <xdr:cNvPr id="400" name="ID_8E311A7DD5474B23AC485E2C744C57B5" descr="风险防控图"/>
        <xdr:cNvPicPr/>
      </xdr:nvPicPr>
      <xdr:blipFill>
        <a:blip r:embed="rId12"/>
        <a:stretch>
          <a:fillRect/>
        </a:stretch>
      </xdr:blipFill>
      <xdr:spPr>
        <a:xfrm>
          <a:off x="0" y="0"/>
          <a:ext cx="7110095" cy="10058400"/>
        </a:xfrm>
        <a:prstGeom prst="rect">
          <a:avLst/>
        </a:prstGeom>
      </xdr:spPr>
    </xdr:pic>
  </etc:cellImage>
  <etc:cellImage>
    <xdr:pic>
      <xdr:nvPicPr>
        <xdr:cNvPr id="401" name="ID_6EAC5F43B1CC45D99811B423C59FEB4D" descr="风险防控图"/>
        <xdr:cNvPicPr/>
      </xdr:nvPicPr>
      <xdr:blipFill>
        <a:blip r:embed="rId12"/>
        <a:stretch>
          <a:fillRect/>
        </a:stretch>
      </xdr:blipFill>
      <xdr:spPr>
        <a:xfrm>
          <a:off x="0" y="0"/>
          <a:ext cx="7110095" cy="10058400"/>
        </a:xfrm>
        <a:prstGeom prst="rect">
          <a:avLst/>
        </a:prstGeom>
      </xdr:spPr>
    </xdr:pic>
  </etc:cellImage>
  <etc:cellImage>
    <xdr:pic>
      <xdr:nvPicPr>
        <xdr:cNvPr id="402" name="ID_ED50B955422E4B149F2DC17C76DDB968" descr="风险防控图"/>
        <xdr:cNvPicPr/>
      </xdr:nvPicPr>
      <xdr:blipFill>
        <a:blip r:embed="rId12"/>
        <a:stretch>
          <a:fillRect/>
        </a:stretch>
      </xdr:blipFill>
      <xdr:spPr>
        <a:xfrm>
          <a:off x="0" y="0"/>
          <a:ext cx="7110095" cy="10058400"/>
        </a:xfrm>
        <a:prstGeom prst="rect">
          <a:avLst/>
        </a:prstGeom>
      </xdr:spPr>
    </xdr:pic>
  </etc:cellImage>
  <etc:cellImage>
    <xdr:pic>
      <xdr:nvPicPr>
        <xdr:cNvPr id="403" name="ID_58102619A9744998B80EC142C6F92A11" descr="风险防控图"/>
        <xdr:cNvPicPr/>
      </xdr:nvPicPr>
      <xdr:blipFill>
        <a:blip r:embed="rId12"/>
        <a:stretch>
          <a:fillRect/>
        </a:stretch>
      </xdr:blipFill>
      <xdr:spPr>
        <a:xfrm>
          <a:off x="0" y="0"/>
          <a:ext cx="7110095" cy="10058400"/>
        </a:xfrm>
        <a:prstGeom prst="rect">
          <a:avLst/>
        </a:prstGeom>
      </xdr:spPr>
    </xdr:pic>
  </etc:cellImage>
  <etc:cellImage>
    <xdr:pic>
      <xdr:nvPicPr>
        <xdr:cNvPr id="404" name="ID_1402975315AA4B159BAA4AA1FEAD112C" descr="风险防控图"/>
        <xdr:cNvPicPr/>
      </xdr:nvPicPr>
      <xdr:blipFill>
        <a:blip r:embed="rId12"/>
        <a:stretch>
          <a:fillRect/>
        </a:stretch>
      </xdr:blipFill>
      <xdr:spPr>
        <a:xfrm>
          <a:off x="0" y="0"/>
          <a:ext cx="7110095" cy="10058400"/>
        </a:xfrm>
        <a:prstGeom prst="rect">
          <a:avLst/>
        </a:prstGeom>
      </xdr:spPr>
    </xdr:pic>
  </etc:cellImage>
  <etc:cellImage>
    <xdr:pic>
      <xdr:nvPicPr>
        <xdr:cNvPr id="405" name="ID_FDA9BFE5EE674D198196F4209E65D9C2" descr="风险防控图"/>
        <xdr:cNvPicPr/>
      </xdr:nvPicPr>
      <xdr:blipFill>
        <a:blip r:embed="rId12"/>
        <a:stretch>
          <a:fillRect/>
        </a:stretch>
      </xdr:blipFill>
      <xdr:spPr>
        <a:xfrm>
          <a:off x="0" y="0"/>
          <a:ext cx="7110095" cy="10058400"/>
        </a:xfrm>
        <a:prstGeom prst="rect">
          <a:avLst/>
        </a:prstGeom>
      </xdr:spPr>
    </xdr:pic>
  </etc:cellImage>
  <etc:cellImage>
    <xdr:pic>
      <xdr:nvPicPr>
        <xdr:cNvPr id="406" name="ID_C22B51E231C9440496AFE373993697B3" descr="风险防控图"/>
        <xdr:cNvPicPr/>
      </xdr:nvPicPr>
      <xdr:blipFill>
        <a:blip r:embed="rId12"/>
        <a:stretch>
          <a:fillRect/>
        </a:stretch>
      </xdr:blipFill>
      <xdr:spPr>
        <a:xfrm>
          <a:off x="0" y="0"/>
          <a:ext cx="7110095" cy="10058400"/>
        </a:xfrm>
        <a:prstGeom prst="rect">
          <a:avLst/>
        </a:prstGeom>
      </xdr:spPr>
    </xdr:pic>
  </etc:cellImage>
  <etc:cellImage>
    <xdr:pic>
      <xdr:nvPicPr>
        <xdr:cNvPr id="407" name="ID_5D050B777B9043C99D72ADE5190B1246" descr="风险防控图"/>
        <xdr:cNvPicPr/>
      </xdr:nvPicPr>
      <xdr:blipFill>
        <a:blip r:embed="rId12"/>
        <a:stretch>
          <a:fillRect/>
        </a:stretch>
      </xdr:blipFill>
      <xdr:spPr>
        <a:xfrm>
          <a:off x="0" y="0"/>
          <a:ext cx="7110095" cy="10058400"/>
        </a:xfrm>
        <a:prstGeom prst="rect">
          <a:avLst/>
        </a:prstGeom>
      </xdr:spPr>
    </xdr:pic>
  </etc:cellImage>
  <etc:cellImage>
    <xdr:pic>
      <xdr:nvPicPr>
        <xdr:cNvPr id="408" name="ID_23EF52010F814151AB28573B3B5243EE" descr="风险防控图"/>
        <xdr:cNvPicPr/>
      </xdr:nvPicPr>
      <xdr:blipFill>
        <a:blip r:embed="rId12"/>
        <a:stretch>
          <a:fillRect/>
        </a:stretch>
      </xdr:blipFill>
      <xdr:spPr>
        <a:xfrm>
          <a:off x="0" y="0"/>
          <a:ext cx="7110095" cy="10058400"/>
        </a:xfrm>
        <a:prstGeom prst="rect">
          <a:avLst/>
        </a:prstGeom>
      </xdr:spPr>
    </xdr:pic>
  </etc:cellImage>
  <etc:cellImage>
    <xdr:pic>
      <xdr:nvPicPr>
        <xdr:cNvPr id="409" name="ID_840E00F554664DEDA9300B5912CB740A" descr="风险防控图"/>
        <xdr:cNvPicPr/>
      </xdr:nvPicPr>
      <xdr:blipFill>
        <a:blip r:embed="rId12"/>
        <a:stretch>
          <a:fillRect/>
        </a:stretch>
      </xdr:blipFill>
      <xdr:spPr>
        <a:xfrm>
          <a:off x="0" y="0"/>
          <a:ext cx="7110095" cy="10058400"/>
        </a:xfrm>
        <a:prstGeom prst="rect">
          <a:avLst/>
        </a:prstGeom>
      </xdr:spPr>
    </xdr:pic>
  </etc:cellImage>
  <etc:cellImage>
    <xdr:pic>
      <xdr:nvPicPr>
        <xdr:cNvPr id="410" name="ID_35B4979CFB364FC79A5D2A6EC3F4797B" descr="风险防控图"/>
        <xdr:cNvPicPr/>
      </xdr:nvPicPr>
      <xdr:blipFill>
        <a:blip r:embed="rId12"/>
        <a:stretch>
          <a:fillRect/>
        </a:stretch>
      </xdr:blipFill>
      <xdr:spPr>
        <a:xfrm>
          <a:off x="0" y="0"/>
          <a:ext cx="7110095" cy="10058400"/>
        </a:xfrm>
        <a:prstGeom prst="rect">
          <a:avLst/>
        </a:prstGeom>
      </xdr:spPr>
    </xdr:pic>
  </etc:cellImage>
  <etc:cellImage>
    <xdr:pic>
      <xdr:nvPicPr>
        <xdr:cNvPr id="411" name="ID_88AC34E140EA40DF9CB73F7A559AF59B" descr="风险防控图"/>
        <xdr:cNvPicPr/>
      </xdr:nvPicPr>
      <xdr:blipFill>
        <a:blip r:embed="rId12"/>
        <a:stretch>
          <a:fillRect/>
        </a:stretch>
      </xdr:blipFill>
      <xdr:spPr>
        <a:xfrm>
          <a:off x="0" y="0"/>
          <a:ext cx="7110095" cy="10058400"/>
        </a:xfrm>
        <a:prstGeom prst="rect">
          <a:avLst/>
        </a:prstGeom>
      </xdr:spPr>
    </xdr:pic>
  </etc:cellImage>
  <etc:cellImage>
    <xdr:pic>
      <xdr:nvPicPr>
        <xdr:cNvPr id="412" name="ID_FB505C3E1CBA4001867EAAE8452126B6" descr="风险防控图"/>
        <xdr:cNvPicPr/>
      </xdr:nvPicPr>
      <xdr:blipFill>
        <a:blip r:embed="rId12"/>
        <a:stretch>
          <a:fillRect/>
        </a:stretch>
      </xdr:blipFill>
      <xdr:spPr>
        <a:xfrm>
          <a:off x="0" y="0"/>
          <a:ext cx="7110095" cy="10058400"/>
        </a:xfrm>
        <a:prstGeom prst="rect">
          <a:avLst/>
        </a:prstGeom>
      </xdr:spPr>
    </xdr:pic>
  </etc:cellImage>
  <etc:cellImage>
    <xdr:pic>
      <xdr:nvPicPr>
        <xdr:cNvPr id="413" name="ID_DF6A256D7CB54C7CB256538F21DC4EF0" descr="风险防控图"/>
        <xdr:cNvPicPr/>
      </xdr:nvPicPr>
      <xdr:blipFill>
        <a:blip r:embed="rId12"/>
        <a:stretch>
          <a:fillRect/>
        </a:stretch>
      </xdr:blipFill>
      <xdr:spPr>
        <a:xfrm>
          <a:off x="0" y="0"/>
          <a:ext cx="7110095" cy="10058400"/>
        </a:xfrm>
        <a:prstGeom prst="rect">
          <a:avLst/>
        </a:prstGeom>
      </xdr:spPr>
    </xdr:pic>
  </etc:cellImage>
  <etc:cellImage>
    <xdr:pic>
      <xdr:nvPicPr>
        <xdr:cNvPr id="414" name="ID_8AB8B29BBDAC439784B6D950C9CEC62F" descr="风险防控图"/>
        <xdr:cNvPicPr/>
      </xdr:nvPicPr>
      <xdr:blipFill>
        <a:blip r:embed="rId12"/>
        <a:stretch>
          <a:fillRect/>
        </a:stretch>
      </xdr:blipFill>
      <xdr:spPr>
        <a:xfrm>
          <a:off x="0" y="0"/>
          <a:ext cx="7110095" cy="10058400"/>
        </a:xfrm>
        <a:prstGeom prst="rect">
          <a:avLst/>
        </a:prstGeom>
      </xdr:spPr>
    </xdr:pic>
  </etc:cellImage>
  <etc:cellImage>
    <xdr:pic>
      <xdr:nvPicPr>
        <xdr:cNvPr id="415" name="ID_BAFAE767ABF4476FBE357CBAF9228003" descr="风险防控图"/>
        <xdr:cNvPicPr/>
      </xdr:nvPicPr>
      <xdr:blipFill>
        <a:blip r:embed="rId12"/>
        <a:stretch>
          <a:fillRect/>
        </a:stretch>
      </xdr:blipFill>
      <xdr:spPr>
        <a:xfrm>
          <a:off x="0" y="0"/>
          <a:ext cx="7110095" cy="10058400"/>
        </a:xfrm>
        <a:prstGeom prst="rect">
          <a:avLst/>
        </a:prstGeom>
      </xdr:spPr>
    </xdr:pic>
  </etc:cellImage>
  <etc:cellImage>
    <xdr:pic>
      <xdr:nvPicPr>
        <xdr:cNvPr id="416" name="ID_BD0E5FA32BCB4DD384E441AFC1EDD313" descr="风险防控图"/>
        <xdr:cNvPicPr/>
      </xdr:nvPicPr>
      <xdr:blipFill>
        <a:blip r:embed="rId12"/>
        <a:stretch>
          <a:fillRect/>
        </a:stretch>
      </xdr:blipFill>
      <xdr:spPr>
        <a:xfrm>
          <a:off x="0" y="0"/>
          <a:ext cx="7110095" cy="10058400"/>
        </a:xfrm>
        <a:prstGeom prst="rect">
          <a:avLst/>
        </a:prstGeom>
      </xdr:spPr>
    </xdr:pic>
  </etc:cellImage>
  <etc:cellImage>
    <xdr:pic>
      <xdr:nvPicPr>
        <xdr:cNvPr id="417" name="ID_818B5BA4B0404187895AA6A6487C48AB" descr="风险防控图"/>
        <xdr:cNvPicPr/>
      </xdr:nvPicPr>
      <xdr:blipFill>
        <a:blip r:embed="rId12"/>
        <a:stretch>
          <a:fillRect/>
        </a:stretch>
      </xdr:blipFill>
      <xdr:spPr>
        <a:xfrm>
          <a:off x="0" y="0"/>
          <a:ext cx="7110095" cy="10058400"/>
        </a:xfrm>
        <a:prstGeom prst="rect">
          <a:avLst/>
        </a:prstGeom>
      </xdr:spPr>
    </xdr:pic>
  </etc:cellImage>
  <etc:cellImage>
    <xdr:pic>
      <xdr:nvPicPr>
        <xdr:cNvPr id="418" name="ID_7545A8FEBEA84C5480D500E15194ED6C" descr="风险防控图"/>
        <xdr:cNvPicPr/>
      </xdr:nvPicPr>
      <xdr:blipFill>
        <a:blip r:embed="rId12"/>
        <a:stretch>
          <a:fillRect/>
        </a:stretch>
      </xdr:blipFill>
      <xdr:spPr>
        <a:xfrm>
          <a:off x="0" y="0"/>
          <a:ext cx="7110095" cy="10058400"/>
        </a:xfrm>
        <a:prstGeom prst="rect">
          <a:avLst/>
        </a:prstGeom>
      </xdr:spPr>
    </xdr:pic>
  </etc:cellImage>
  <etc:cellImage>
    <xdr:pic>
      <xdr:nvPicPr>
        <xdr:cNvPr id="419" name="ID_EDFD8A38BF4A465B93E51281EC0A9FDC" descr="风险防控图"/>
        <xdr:cNvPicPr/>
      </xdr:nvPicPr>
      <xdr:blipFill>
        <a:blip r:embed="rId12"/>
        <a:stretch>
          <a:fillRect/>
        </a:stretch>
      </xdr:blipFill>
      <xdr:spPr>
        <a:xfrm>
          <a:off x="0" y="0"/>
          <a:ext cx="7110095" cy="10058400"/>
        </a:xfrm>
        <a:prstGeom prst="rect">
          <a:avLst/>
        </a:prstGeom>
      </xdr:spPr>
    </xdr:pic>
  </etc:cellImage>
  <etc:cellImage>
    <xdr:pic>
      <xdr:nvPicPr>
        <xdr:cNvPr id="420" name="ID_E0EBC5ADD3B94A19BBB1EF476C80AAD1" descr="风险防控图"/>
        <xdr:cNvPicPr/>
      </xdr:nvPicPr>
      <xdr:blipFill>
        <a:blip r:embed="rId12"/>
        <a:stretch>
          <a:fillRect/>
        </a:stretch>
      </xdr:blipFill>
      <xdr:spPr>
        <a:xfrm>
          <a:off x="0" y="0"/>
          <a:ext cx="7110095" cy="10058400"/>
        </a:xfrm>
        <a:prstGeom prst="rect">
          <a:avLst/>
        </a:prstGeom>
      </xdr:spPr>
    </xdr:pic>
  </etc:cellImage>
  <etc:cellImage>
    <xdr:pic>
      <xdr:nvPicPr>
        <xdr:cNvPr id="421" name="ID_D200FDDAFAF04374909B1B6786937CFE" descr="风险防控图"/>
        <xdr:cNvPicPr/>
      </xdr:nvPicPr>
      <xdr:blipFill>
        <a:blip r:embed="rId12"/>
        <a:stretch>
          <a:fillRect/>
        </a:stretch>
      </xdr:blipFill>
      <xdr:spPr>
        <a:xfrm>
          <a:off x="0" y="0"/>
          <a:ext cx="7110095" cy="10058400"/>
        </a:xfrm>
        <a:prstGeom prst="rect">
          <a:avLst/>
        </a:prstGeom>
      </xdr:spPr>
    </xdr:pic>
  </etc:cellImage>
  <etc:cellImage>
    <xdr:pic>
      <xdr:nvPicPr>
        <xdr:cNvPr id="422" name="ID_2CADFF5F61794BD0BFC7131AC679F7DC" descr="风险防控图"/>
        <xdr:cNvPicPr/>
      </xdr:nvPicPr>
      <xdr:blipFill>
        <a:blip r:embed="rId12"/>
        <a:stretch>
          <a:fillRect/>
        </a:stretch>
      </xdr:blipFill>
      <xdr:spPr>
        <a:xfrm>
          <a:off x="0" y="0"/>
          <a:ext cx="7110095" cy="10058400"/>
        </a:xfrm>
        <a:prstGeom prst="rect">
          <a:avLst/>
        </a:prstGeom>
      </xdr:spPr>
    </xdr:pic>
  </etc:cellImage>
  <etc:cellImage>
    <xdr:pic>
      <xdr:nvPicPr>
        <xdr:cNvPr id="423" name="ID_8344343539B14DA8A7634DFBCEF955A1" descr="风险防控图"/>
        <xdr:cNvPicPr/>
      </xdr:nvPicPr>
      <xdr:blipFill>
        <a:blip r:embed="rId12"/>
        <a:stretch>
          <a:fillRect/>
        </a:stretch>
      </xdr:blipFill>
      <xdr:spPr>
        <a:xfrm>
          <a:off x="0" y="0"/>
          <a:ext cx="7110095" cy="10058400"/>
        </a:xfrm>
        <a:prstGeom prst="rect">
          <a:avLst/>
        </a:prstGeom>
      </xdr:spPr>
    </xdr:pic>
  </etc:cellImage>
  <etc:cellImage>
    <xdr:pic>
      <xdr:nvPicPr>
        <xdr:cNvPr id="424" name="ID_4C6DB858D24A4D6693B52BC918738234" descr="风险防控图"/>
        <xdr:cNvPicPr/>
      </xdr:nvPicPr>
      <xdr:blipFill>
        <a:blip r:embed="rId12"/>
        <a:stretch>
          <a:fillRect/>
        </a:stretch>
      </xdr:blipFill>
      <xdr:spPr>
        <a:xfrm>
          <a:off x="0" y="0"/>
          <a:ext cx="7110095" cy="10058400"/>
        </a:xfrm>
        <a:prstGeom prst="rect">
          <a:avLst/>
        </a:prstGeom>
      </xdr:spPr>
    </xdr:pic>
  </etc:cellImage>
  <etc:cellImage>
    <xdr:pic>
      <xdr:nvPicPr>
        <xdr:cNvPr id="425" name="ID_531117B0DB8D4D968327D2BA9C3EB303" descr="风险防控图"/>
        <xdr:cNvPicPr/>
      </xdr:nvPicPr>
      <xdr:blipFill>
        <a:blip r:embed="rId12"/>
        <a:stretch>
          <a:fillRect/>
        </a:stretch>
      </xdr:blipFill>
      <xdr:spPr>
        <a:xfrm>
          <a:off x="0" y="0"/>
          <a:ext cx="7110095" cy="10058400"/>
        </a:xfrm>
        <a:prstGeom prst="rect">
          <a:avLst/>
        </a:prstGeom>
      </xdr:spPr>
    </xdr:pic>
  </etc:cellImage>
  <etc:cellImage>
    <xdr:pic>
      <xdr:nvPicPr>
        <xdr:cNvPr id="426" name="ID_648484C9A6F643A99E6C5A84FF219837" descr="风险防控图"/>
        <xdr:cNvPicPr/>
      </xdr:nvPicPr>
      <xdr:blipFill>
        <a:blip r:embed="rId12"/>
        <a:stretch>
          <a:fillRect/>
        </a:stretch>
      </xdr:blipFill>
      <xdr:spPr>
        <a:xfrm>
          <a:off x="0" y="0"/>
          <a:ext cx="7110095" cy="10058400"/>
        </a:xfrm>
        <a:prstGeom prst="rect">
          <a:avLst/>
        </a:prstGeom>
      </xdr:spPr>
    </xdr:pic>
  </etc:cellImage>
  <etc:cellImage>
    <xdr:pic>
      <xdr:nvPicPr>
        <xdr:cNvPr id="427" name="ID_FF794D97E6424D0997F0AAAF60BBC718" descr="风险防控图"/>
        <xdr:cNvPicPr/>
      </xdr:nvPicPr>
      <xdr:blipFill>
        <a:blip r:embed="rId12"/>
        <a:stretch>
          <a:fillRect/>
        </a:stretch>
      </xdr:blipFill>
      <xdr:spPr>
        <a:xfrm>
          <a:off x="0" y="0"/>
          <a:ext cx="7110095" cy="10058400"/>
        </a:xfrm>
        <a:prstGeom prst="rect">
          <a:avLst/>
        </a:prstGeom>
      </xdr:spPr>
    </xdr:pic>
  </etc:cellImage>
  <etc:cellImage>
    <xdr:pic>
      <xdr:nvPicPr>
        <xdr:cNvPr id="428" name="ID_802B72A0F4164E69A26495EA96C7BF51" descr="风险防控图"/>
        <xdr:cNvPicPr/>
      </xdr:nvPicPr>
      <xdr:blipFill>
        <a:blip r:embed="rId12"/>
        <a:stretch>
          <a:fillRect/>
        </a:stretch>
      </xdr:blipFill>
      <xdr:spPr>
        <a:xfrm>
          <a:off x="0" y="0"/>
          <a:ext cx="7110095" cy="10058400"/>
        </a:xfrm>
        <a:prstGeom prst="rect">
          <a:avLst/>
        </a:prstGeom>
      </xdr:spPr>
    </xdr:pic>
  </etc:cellImage>
  <etc:cellImage>
    <xdr:pic>
      <xdr:nvPicPr>
        <xdr:cNvPr id="429" name="ID_D37EB21673454A95928F09A44DD68EB8" descr="风险防控图"/>
        <xdr:cNvPicPr/>
      </xdr:nvPicPr>
      <xdr:blipFill>
        <a:blip r:embed="rId12"/>
        <a:stretch>
          <a:fillRect/>
        </a:stretch>
      </xdr:blipFill>
      <xdr:spPr>
        <a:xfrm>
          <a:off x="0" y="0"/>
          <a:ext cx="7110095" cy="10058400"/>
        </a:xfrm>
        <a:prstGeom prst="rect">
          <a:avLst/>
        </a:prstGeom>
      </xdr:spPr>
    </xdr:pic>
  </etc:cellImage>
  <etc:cellImage>
    <xdr:pic>
      <xdr:nvPicPr>
        <xdr:cNvPr id="430" name="ID_437E858CF482497DB5EDA870BE05F04F" descr="风险防控图"/>
        <xdr:cNvPicPr/>
      </xdr:nvPicPr>
      <xdr:blipFill>
        <a:blip r:embed="rId12"/>
        <a:stretch>
          <a:fillRect/>
        </a:stretch>
      </xdr:blipFill>
      <xdr:spPr>
        <a:xfrm>
          <a:off x="0" y="0"/>
          <a:ext cx="7110095" cy="10058400"/>
        </a:xfrm>
        <a:prstGeom prst="rect">
          <a:avLst/>
        </a:prstGeom>
      </xdr:spPr>
    </xdr:pic>
  </etc:cellImage>
  <etc:cellImage>
    <xdr:pic>
      <xdr:nvPicPr>
        <xdr:cNvPr id="431" name="ID_33D7092855414A848C158A0443E092E3" descr="风险防控图"/>
        <xdr:cNvPicPr/>
      </xdr:nvPicPr>
      <xdr:blipFill>
        <a:blip r:embed="rId12"/>
        <a:stretch>
          <a:fillRect/>
        </a:stretch>
      </xdr:blipFill>
      <xdr:spPr>
        <a:xfrm>
          <a:off x="0" y="0"/>
          <a:ext cx="7110095" cy="10058400"/>
        </a:xfrm>
        <a:prstGeom prst="rect">
          <a:avLst/>
        </a:prstGeom>
      </xdr:spPr>
    </xdr:pic>
  </etc:cellImage>
  <etc:cellImage>
    <xdr:pic>
      <xdr:nvPicPr>
        <xdr:cNvPr id="432" name="ID_3CBF183CE2444A7CB6CC231A7ECE4657" descr="风险防控图"/>
        <xdr:cNvPicPr/>
      </xdr:nvPicPr>
      <xdr:blipFill>
        <a:blip r:embed="rId12"/>
        <a:stretch>
          <a:fillRect/>
        </a:stretch>
      </xdr:blipFill>
      <xdr:spPr>
        <a:xfrm>
          <a:off x="0" y="0"/>
          <a:ext cx="7110095" cy="10058400"/>
        </a:xfrm>
        <a:prstGeom prst="rect">
          <a:avLst/>
        </a:prstGeom>
      </xdr:spPr>
    </xdr:pic>
  </etc:cellImage>
  <etc:cellImage>
    <xdr:pic>
      <xdr:nvPicPr>
        <xdr:cNvPr id="433" name="ID_24223D7B969646ECA121C527F955458D" descr="风险防控图"/>
        <xdr:cNvPicPr/>
      </xdr:nvPicPr>
      <xdr:blipFill>
        <a:blip r:embed="rId12"/>
        <a:stretch>
          <a:fillRect/>
        </a:stretch>
      </xdr:blipFill>
      <xdr:spPr>
        <a:xfrm>
          <a:off x="0" y="0"/>
          <a:ext cx="7110095" cy="10058400"/>
        </a:xfrm>
        <a:prstGeom prst="rect">
          <a:avLst/>
        </a:prstGeom>
      </xdr:spPr>
    </xdr:pic>
  </etc:cellImage>
  <etc:cellImage>
    <xdr:pic>
      <xdr:nvPicPr>
        <xdr:cNvPr id="434" name="ID_DFCA1B3F35894BF4A5CF3A191D50A37F" descr="风险防控图"/>
        <xdr:cNvPicPr/>
      </xdr:nvPicPr>
      <xdr:blipFill>
        <a:blip r:embed="rId12"/>
        <a:stretch>
          <a:fillRect/>
        </a:stretch>
      </xdr:blipFill>
      <xdr:spPr>
        <a:xfrm>
          <a:off x="0" y="0"/>
          <a:ext cx="7110095" cy="10058400"/>
        </a:xfrm>
        <a:prstGeom prst="rect">
          <a:avLst/>
        </a:prstGeom>
      </xdr:spPr>
    </xdr:pic>
  </etc:cellImage>
  <etc:cellImage>
    <xdr:pic>
      <xdr:nvPicPr>
        <xdr:cNvPr id="435" name="ID_44136365BBF64412A2254296E50AC48F" descr="风险防控图"/>
        <xdr:cNvPicPr/>
      </xdr:nvPicPr>
      <xdr:blipFill>
        <a:blip r:embed="rId12"/>
        <a:stretch>
          <a:fillRect/>
        </a:stretch>
      </xdr:blipFill>
      <xdr:spPr>
        <a:xfrm>
          <a:off x="0" y="0"/>
          <a:ext cx="7110095" cy="10058400"/>
        </a:xfrm>
        <a:prstGeom prst="rect">
          <a:avLst/>
        </a:prstGeom>
      </xdr:spPr>
    </xdr:pic>
  </etc:cellImage>
  <etc:cellImage>
    <xdr:pic>
      <xdr:nvPicPr>
        <xdr:cNvPr id="436" name="ID_BA7D85A0C5A34285A7826AE9040BB8EC" descr="风险防控图"/>
        <xdr:cNvPicPr/>
      </xdr:nvPicPr>
      <xdr:blipFill>
        <a:blip r:embed="rId12"/>
        <a:stretch>
          <a:fillRect/>
        </a:stretch>
      </xdr:blipFill>
      <xdr:spPr>
        <a:xfrm>
          <a:off x="0" y="0"/>
          <a:ext cx="7110095" cy="10058400"/>
        </a:xfrm>
        <a:prstGeom prst="rect">
          <a:avLst/>
        </a:prstGeom>
      </xdr:spPr>
    </xdr:pic>
  </etc:cellImage>
  <etc:cellImage>
    <xdr:pic>
      <xdr:nvPicPr>
        <xdr:cNvPr id="437" name="ID_A3EDBD1C54BE4B93ABFBE3F2E59BF92D" descr="风险防控图"/>
        <xdr:cNvPicPr/>
      </xdr:nvPicPr>
      <xdr:blipFill>
        <a:blip r:embed="rId12"/>
        <a:stretch>
          <a:fillRect/>
        </a:stretch>
      </xdr:blipFill>
      <xdr:spPr>
        <a:xfrm>
          <a:off x="0" y="0"/>
          <a:ext cx="7110095" cy="10058400"/>
        </a:xfrm>
        <a:prstGeom prst="rect">
          <a:avLst/>
        </a:prstGeom>
      </xdr:spPr>
    </xdr:pic>
  </etc:cellImage>
  <etc:cellImage>
    <xdr:pic>
      <xdr:nvPicPr>
        <xdr:cNvPr id="438" name="ID_40E92AFF10BA4CA0B27AE1D4C24E522D" descr="风险防控图"/>
        <xdr:cNvPicPr/>
      </xdr:nvPicPr>
      <xdr:blipFill>
        <a:blip r:embed="rId12"/>
        <a:stretch>
          <a:fillRect/>
        </a:stretch>
      </xdr:blipFill>
      <xdr:spPr>
        <a:xfrm>
          <a:off x="0" y="0"/>
          <a:ext cx="7110095" cy="10058400"/>
        </a:xfrm>
        <a:prstGeom prst="rect">
          <a:avLst/>
        </a:prstGeom>
      </xdr:spPr>
    </xdr:pic>
  </etc:cellImage>
  <etc:cellImage>
    <xdr:pic>
      <xdr:nvPicPr>
        <xdr:cNvPr id="439" name="ID_CD444DBFCFEA47C5A8C3F9B31EF9C2FE" descr="风险防控图"/>
        <xdr:cNvPicPr/>
      </xdr:nvPicPr>
      <xdr:blipFill>
        <a:blip r:embed="rId12"/>
        <a:stretch>
          <a:fillRect/>
        </a:stretch>
      </xdr:blipFill>
      <xdr:spPr>
        <a:xfrm>
          <a:off x="0" y="0"/>
          <a:ext cx="7110095" cy="10058400"/>
        </a:xfrm>
        <a:prstGeom prst="rect">
          <a:avLst/>
        </a:prstGeom>
      </xdr:spPr>
    </xdr:pic>
  </etc:cellImage>
  <etc:cellImage>
    <xdr:pic>
      <xdr:nvPicPr>
        <xdr:cNvPr id="440" name="ID_0C3BA9E8F7B540399096A7C9ABED98D7" descr="风险防控图"/>
        <xdr:cNvPicPr/>
      </xdr:nvPicPr>
      <xdr:blipFill>
        <a:blip r:embed="rId12"/>
        <a:stretch>
          <a:fillRect/>
        </a:stretch>
      </xdr:blipFill>
      <xdr:spPr>
        <a:xfrm>
          <a:off x="0" y="0"/>
          <a:ext cx="7110095" cy="10058400"/>
        </a:xfrm>
        <a:prstGeom prst="rect">
          <a:avLst/>
        </a:prstGeom>
      </xdr:spPr>
    </xdr:pic>
  </etc:cellImage>
  <etc:cellImage>
    <xdr:pic>
      <xdr:nvPicPr>
        <xdr:cNvPr id="441" name="ID_B024C90CCCC44A519AEFE8EFAB28CDDB" descr="风险防控图"/>
        <xdr:cNvPicPr/>
      </xdr:nvPicPr>
      <xdr:blipFill>
        <a:blip r:embed="rId12"/>
        <a:stretch>
          <a:fillRect/>
        </a:stretch>
      </xdr:blipFill>
      <xdr:spPr>
        <a:xfrm>
          <a:off x="0" y="0"/>
          <a:ext cx="7110095" cy="10058400"/>
        </a:xfrm>
        <a:prstGeom prst="rect">
          <a:avLst/>
        </a:prstGeom>
      </xdr:spPr>
    </xdr:pic>
  </etc:cellImage>
  <etc:cellImage>
    <xdr:pic>
      <xdr:nvPicPr>
        <xdr:cNvPr id="442" name="ID_87C975D419704D6BAE1A1428D5C89893" descr="风险防控图"/>
        <xdr:cNvPicPr/>
      </xdr:nvPicPr>
      <xdr:blipFill>
        <a:blip r:embed="rId12"/>
        <a:stretch>
          <a:fillRect/>
        </a:stretch>
      </xdr:blipFill>
      <xdr:spPr>
        <a:xfrm>
          <a:off x="0" y="0"/>
          <a:ext cx="7110095" cy="10058400"/>
        </a:xfrm>
        <a:prstGeom prst="rect">
          <a:avLst/>
        </a:prstGeom>
      </xdr:spPr>
    </xdr:pic>
  </etc:cellImage>
  <etc:cellImage>
    <xdr:pic>
      <xdr:nvPicPr>
        <xdr:cNvPr id="443" name="ID_15124C29F0D641AF98231E6A5737C467" descr="风险防控图"/>
        <xdr:cNvPicPr/>
      </xdr:nvPicPr>
      <xdr:blipFill>
        <a:blip r:embed="rId12"/>
        <a:stretch>
          <a:fillRect/>
        </a:stretch>
      </xdr:blipFill>
      <xdr:spPr>
        <a:xfrm>
          <a:off x="0" y="0"/>
          <a:ext cx="7110095" cy="10058400"/>
        </a:xfrm>
        <a:prstGeom prst="rect">
          <a:avLst/>
        </a:prstGeom>
      </xdr:spPr>
    </xdr:pic>
  </etc:cellImage>
  <etc:cellImage>
    <xdr:pic>
      <xdr:nvPicPr>
        <xdr:cNvPr id="444" name="ID_F3E9FDA420BF4B95B09E1E87D9E1EF02" descr="风险防控图"/>
        <xdr:cNvPicPr/>
      </xdr:nvPicPr>
      <xdr:blipFill>
        <a:blip r:embed="rId12"/>
        <a:stretch>
          <a:fillRect/>
        </a:stretch>
      </xdr:blipFill>
      <xdr:spPr>
        <a:xfrm>
          <a:off x="0" y="0"/>
          <a:ext cx="7110095" cy="10058400"/>
        </a:xfrm>
        <a:prstGeom prst="rect">
          <a:avLst/>
        </a:prstGeom>
      </xdr:spPr>
    </xdr:pic>
  </etc:cellImage>
  <etc:cellImage>
    <xdr:pic>
      <xdr:nvPicPr>
        <xdr:cNvPr id="445" name="ID_FF824ADA8E7645CEBF2D4F8D60C91444" descr="风险防控图"/>
        <xdr:cNvPicPr/>
      </xdr:nvPicPr>
      <xdr:blipFill>
        <a:blip r:embed="rId12"/>
        <a:stretch>
          <a:fillRect/>
        </a:stretch>
      </xdr:blipFill>
      <xdr:spPr>
        <a:xfrm>
          <a:off x="0" y="0"/>
          <a:ext cx="7110095" cy="10058400"/>
        </a:xfrm>
        <a:prstGeom prst="rect">
          <a:avLst/>
        </a:prstGeom>
      </xdr:spPr>
    </xdr:pic>
  </etc:cellImage>
  <etc:cellImage>
    <xdr:pic>
      <xdr:nvPicPr>
        <xdr:cNvPr id="446" name="ID_7CF137D83F614517BEE0B616B68233D3" descr="风险防控图"/>
        <xdr:cNvPicPr/>
      </xdr:nvPicPr>
      <xdr:blipFill>
        <a:blip r:embed="rId12"/>
        <a:stretch>
          <a:fillRect/>
        </a:stretch>
      </xdr:blipFill>
      <xdr:spPr>
        <a:xfrm>
          <a:off x="0" y="0"/>
          <a:ext cx="7110095" cy="10058400"/>
        </a:xfrm>
        <a:prstGeom prst="rect">
          <a:avLst/>
        </a:prstGeom>
      </xdr:spPr>
    </xdr:pic>
  </etc:cellImage>
  <etc:cellImage>
    <xdr:pic>
      <xdr:nvPicPr>
        <xdr:cNvPr id="447" name="ID_D6E74D2AE53643D38E42558E97F509D5" descr="风险防控图"/>
        <xdr:cNvPicPr/>
      </xdr:nvPicPr>
      <xdr:blipFill>
        <a:blip r:embed="rId12"/>
        <a:stretch>
          <a:fillRect/>
        </a:stretch>
      </xdr:blipFill>
      <xdr:spPr>
        <a:xfrm>
          <a:off x="0" y="0"/>
          <a:ext cx="7110095" cy="10058400"/>
        </a:xfrm>
        <a:prstGeom prst="rect">
          <a:avLst/>
        </a:prstGeom>
      </xdr:spPr>
    </xdr:pic>
  </etc:cellImage>
  <etc:cellImage>
    <xdr:pic>
      <xdr:nvPicPr>
        <xdr:cNvPr id="448" name="ID_04F42BC2984C469F8BD0433C228C5109" descr="风险防控图"/>
        <xdr:cNvPicPr/>
      </xdr:nvPicPr>
      <xdr:blipFill>
        <a:blip r:embed="rId12"/>
        <a:stretch>
          <a:fillRect/>
        </a:stretch>
      </xdr:blipFill>
      <xdr:spPr>
        <a:xfrm>
          <a:off x="0" y="0"/>
          <a:ext cx="7110095" cy="10058400"/>
        </a:xfrm>
        <a:prstGeom prst="rect">
          <a:avLst/>
        </a:prstGeom>
      </xdr:spPr>
    </xdr:pic>
  </etc:cellImage>
  <etc:cellImage>
    <xdr:pic>
      <xdr:nvPicPr>
        <xdr:cNvPr id="449" name="ID_3F8491B3F5CD4BB7A53BC566D589745A" descr="风险防控图"/>
        <xdr:cNvPicPr/>
      </xdr:nvPicPr>
      <xdr:blipFill>
        <a:blip r:embed="rId12"/>
        <a:stretch>
          <a:fillRect/>
        </a:stretch>
      </xdr:blipFill>
      <xdr:spPr>
        <a:xfrm>
          <a:off x="0" y="0"/>
          <a:ext cx="7110095" cy="10058400"/>
        </a:xfrm>
        <a:prstGeom prst="rect">
          <a:avLst/>
        </a:prstGeom>
      </xdr:spPr>
    </xdr:pic>
  </etc:cellImage>
  <etc:cellImage>
    <xdr:pic>
      <xdr:nvPicPr>
        <xdr:cNvPr id="450" name="ID_B4630AFDA2D4498599731A4C5248AAE6" descr="风险防控图"/>
        <xdr:cNvPicPr/>
      </xdr:nvPicPr>
      <xdr:blipFill>
        <a:blip r:embed="rId12"/>
        <a:stretch>
          <a:fillRect/>
        </a:stretch>
      </xdr:blipFill>
      <xdr:spPr>
        <a:xfrm>
          <a:off x="0" y="0"/>
          <a:ext cx="7110095" cy="10058400"/>
        </a:xfrm>
        <a:prstGeom prst="rect">
          <a:avLst/>
        </a:prstGeom>
      </xdr:spPr>
    </xdr:pic>
  </etc:cellImage>
  <etc:cellImage>
    <xdr:pic>
      <xdr:nvPicPr>
        <xdr:cNvPr id="451" name="ID_5502964FF4D54838A983C70756C5151E" descr="风险防控图"/>
        <xdr:cNvPicPr/>
      </xdr:nvPicPr>
      <xdr:blipFill>
        <a:blip r:embed="rId12"/>
        <a:stretch>
          <a:fillRect/>
        </a:stretch>
      </xdr:blipFill>
      <xdr:spPr>
        <a:xfrm>
          <a:off x="0" y="0"/>
          <a:ext cx="7110095" cy="10058400"/>
        </a:xfrm>
        <a:prstGeom prst="rect">
          <a:avLst/>
        </a:prstGeom>
      </xdr:spPr>
    </xdr:pic>
  </etc:cellImage>
  <etc:cellImage>
    <xdr:pic>
      <xdr:nvPicPr>
        <xdr:cNvPr id="452" name="ID_9545FDCFCBE04F5E93E585F6AEB2C6BB" descr="风险防控图"/>
        <xdr:cNvPicPr/>
      </xdr:nvPicPr>
      <xdr:blipFill>
        <a:blip r:embed="rId12"/>
        <a:stretch>
          <a:fillRect/>
        </a:stretch>
      </xdr:blipFill>
      <xdr:spPr>
        <a:xfrm>
          <a:off x="0" y="0"/>
          <a:ext cx="7110095" cy="10058400"/>
        </a:xfrm>
        <a:prstGeom prst="rect">
          <a:avLst/>
        </a:prstGeom>
      </xdr:spPr>
    </xdr:pic>
  </etc:cellImage>
  <etc:cellImage>
    <xdr:pic>
      <xdr:nvPicPr>
        <xdr:cNvPr id="453" name="ID_F5B72C72920543A5BA533C01F0EA1BCF" descr="风险防控图"/>
        <xdr:cNvPicPr/>
      </xdr:nvPicPr>
      <xdr:blipFill>
        <a:blip r:embed="rId12"/>
        <a:stretch>
          <a:fillRect/>
        </a:stretch>
      </xdr:blipFill>
      <xdr:spPr>
        <a:xfrm>
          <a:off x="0" y="0"/>
          <a:ext cx="7110095" cy="10058400"/>
        </a:xfrm>
        <a:prstGeom prst="rect">
          <a:avLst/>
        </a:prstGeom>
      </xdr:spPr>
    </xdr:pic>
  </etc:cellImage>
  <etc:cellImage>
    <xdr:pic>
      <xdr:nvPicPr>
        <xdr:cNvPr id="454" name="ID_8BCA8C0506B1484DB990E628FA185AE2" descr="风险防控图"/>
        <xdr:cNvPicPr/>
      </xdr:nvPicPr>
      <xdr:blipFill>
        <a:blip r:embed="rId12"/>
        <a:stretch>
          <a:fillRect/>
        </a:stretch>
      </xdr:blipFill>
      <xdr:spPr>
        <a:xfrm>
          <a:off x="0" y="0"/>
          <a:ext cx="7110095" cy="10058400"/>
        </a:xfrm>
        <a:prstGeom prst="rect">
          <a:avLst/>
        </a:prstGeom>
      </xdr:spPr>
    </xdr:pic>
  </etc:cellImage>
  <etc:cellImage>
    <xdr:pic>
      <xdr:nvPicPr>
        <xdr:cNvPr id="455" name="ID_499EEA3DD487417893C515D11F97745C" descr="风险防控图"/>
        <xdr:cNvPicPr/>
      </xdr:nvPicPr>
      <xdr:blipFill>
        <a:blip r:embed="rId12"/>
        <a:stretch>
          <a:fillRect/>
        </a:stretch>
      </xdr:blipFill>
      <xdr:spPr>
        <a:xfrm>
          <a:off x="0" y="0"/>
          <a:ext cx="7110095" cy="10058400"/>
        </a:xfrm>
        <a:prstGeom prst="rect">
          <a:avLst/>
        </a:prstGeom>
      </xdr:spPr>
    </xdr:pic>
  </etc:cellImage>
  <etc:cellImage>
    <xdr:pic>
      <xdr:nvPicPr>
        <xdr:cNvPr id="456" name="ID_4937D5B94EC5407893B8BB1FA86669C0" descr="风险防控图"/>
        <xdr:cNvPicPr/>
      </xdr:nvPicPr>
      <xdr:blipFill>
        <a:blip r:embed="rId12"/>
        <a:stretch>
          <a:fillRect/>
        </a:stretch>
      </xdr:blipFill>
      <xdr:spPr>
        <a:xfrm>
          <a:off x="0" y="0"/>
          <a:ext cx="7110095" cy="10058400"/>
        </a:xfrm>
        <a:prstGeom prst="rect">
          <a:avLst/>
        </a:prstGeom>
      </xdr:spPr>
    </xdr:pic>
  </etc:cellImage>
  <etc:cellImage>
    <xdr:pic>
      <xdr:nvPicPr>
        <xdr:cNvPr id="457" name="ID_577995B0C3EE4A9695C692E69706DCBD" descr="风险防控图"/>
        <xdr:cNvPicPr/>
      </xdr:nvPicPr>
      <xdr:blipFill>
        <a:blip r:embed="rId12"/>
        <a:stretch>
          <a:fillRect/>
        </a:stretch>
      </xdr:blipFill>
      <xdr:spPr>
        <a:xfrm>
          <a:off x="0" y="0"/>
          <a:ext cx="7110095" cy="10058400"/>
        </a:xfrm>
        <a:prstGeom prst="rect">
          <a:avLst/>
        </a:prstGeom>
      </xdr:spPr>
    </xdr:pic>
  </etc:cellImage>
  <etc:cellImage>
    <xdr:pic>
      <xdr:nvPicPr>
        <xdr:cNvPr id="458" name="ID_40FE7180D466420498A1C5CB8559014B" descr="风险防控图"/>
        <xdr:cNvPicPr/>
      </xdr:nvPicPr>
      <xdr:blipFill>
        <a:blip r:embed="rId12"/>
        <a:stretch>
          <a:fillRect/>
        </a:stretch>
      </xdr:blipFill>
      <xdr:spPr>
        <a:xfrm>
          <a:off x="0" y="0"/>
          <a:ext cx="7110095" cy="10058400"/>
        </a:xfrm>
        <a:prstGeom prst="rect">
          <a:avLst/>
        </a:prstGeom>
      </xdr:spPr>
    </xdr:pic>
  </etc:cellImage>
  <etc:cellImage>
    <xdr:pic>
      <xdr:nvPicPr>
        <xdr:cNvPr id="459" name="ID_E4AF08A47F7F4DE5B699A1927348BF5B" descr="风险防控图"/>
        <xdr:cNvPicPr/>
      </xdr:nvPicPr>
      <xdr:blipFill>
        <a:blip r:embed="rId12"/>
        <a:stretch>
          <a:fillRect/>
        </a:stretch>
      </xdr:blipFill>
      <xdr:spPr>
        <a:xfrm>
          <a:off x="0" y="0"/>
          <a:ext cx="7110095" cy="10058400"/>
        </a:xfrm>
        <a:prstGeom prst="rect">
          <a:avLst/>
        </a:prstGeom>
      </xdr:spPr>
    </xdr:pic>
  </etc:cellImage>
  <etc:cellImage>
    <xdr:pic>
      <xdr:nvPicPr>
        <xdr:cNvPr id="460" name="ID_B14FFC4765664F56A0F3E5D85B627D66" descr="风险防控图"/>
        <xdr:cNvPicPr/>
      </xdr:nvPicPr>
      <xdr:blipFill>
        <a:blip r:embed="rId12"/>
        <a:stretch>
          <a:fillRect/>
        </a:stretch>
      </xdr:blipFill>
      <xdr:spPr>
        <a:xfrm>
          <a:off x="0" y="0"/>
          <a:ext cx="7110095" cy="10058400"/>
        </a:xfrm>
        <a:prstGeom prst="rect">
          <a:avLst/>
        </a:prstGeom>
      </xdr:spPr>
    </xdr:pic>
  </etc:cellImage>
  <etc:cellImage>
    <xdr:pic>
      <xdr:nvPicPr>
        <xdr:cNvPr id="461" name="ID_6A155C64171B49C3869859FF4967C66B" descr="风险防控图"/>
        <xdr:cNvPicPr/>
      </xdr:nvPicPr>
      <xdr:blipFill>
        <a:blip r:embed="rId12"/>
        <a:stretch>
          <a:fillRect/>
        </a:stretch>
      </xdr:blipFill>
      <xdr:spPr>
        <a:xfrm>
          <a:off x="0" y="0"/>
          <a:ext cx="7110095" cy="10058400"/>
        </a:xfrm>
        <a:prstGeom prst="rect">
          <a:avLst/>
        </a:prstGeom>
      </xdr:spPr>
    </xdr:pic>
  </etc:cellImage>
  <etc:cellImage>
    <xdr:pic>
      <xdr:nvPicPr>
        <xdr:cNvPr id="462" name="ID_D14E4D2DFE6342F0B1B6C7A61278550B" descr="风险防控图"/>
        <xdr:cNvPicPr/>
      </xdr:nvPicPr>
      <xdr:blipFill>
        <a:blip r:embed="rId12"/>
        <a:stretch>
          <a:fillRect/>
        </a:stretch>
      </xdr:blipFill>
      <xdr:spPr>
        <a:xfrm>
          <a:off x="0" y="0"/>
          <a:ext cx="7110095" cy="10058400"/>
        </a:xfrm>
        <a:prstGeom prst="rect">
          <a:avLst/>
        </a:prstGeom>
      </xdr:spPr>
    </xdr:pic>
  </etc:cellImage>
  <etc:cellImage>
    <xdr:pic>
      <xdr:nvPicPr>
        <xdr:cNvPr id="463" name="ID_058D1103CE7646AAA7D801E76F691C5A" descr="风险防控图"/>
        <xdr:cNvPicPr/>
      </xdr:nvPicPr>
      <xdr:blipFill>
        <a:blip r:embed="rId12"/>
        <a:stretch>
          <a:fillRect/>
        </a:stretch>
      </xdr:blipFill>
      <xdr:spPr>
        <a:xfrm>
          <a:off x="0" y="0"/>
          <a:ext cx="7110095" cy="10058400"/>
        </a:xfrm>
        <a:prstGeom prst="rect">
          <a:avLst/>
        </a:prstGeom>
      </xdr:spPr>
    </xdr:pic>
  </etc:cellImage>
  <etc:cellImage>
    <xdr:pic>
      <xdr:nvPicPr>
        <xdr:cNvPr id="464" name="ID_F1A6B7C2B7A44926BD9E749A2BD90E38" descr="风险防控图"/>
        <xdr:cNvPicPr/>
      </xdr:nvPicPr>
      <xdr:blipFill>
        <a:blip r:embed="rId12"/>
        <a:stretch>
          <a:fillRect/>
        </a:stretch>
      </xdr:blipFill>
      <xdr:spPr>
        <a:xfrm>
          <a:off x="0" y="0"/>
          <a:ext cx="7110095" cy="10058400"/>
        </a:xfrm>
        <a:prstGeom prst="rect">
          <a:avLst/>
        </a:prstGeom>
      </xdr:spPr>
    </xdr:pic>
  </etc:cellImage>
  <etc:cellImage>
    <xdr:pic>
      <xdr:nvPicPr>
        <xdr:cNvPr id="465" name="ID_16741C1A29464625AB4ACD4C18456379" descr="风险防控图"/>
        <xdr:cNvPicPr/>
      </xdr:nvPicPr>
      <xdr:blipFill>
        <a:blip r:embed="rId12"/>
        <a:stretch>
          <a:fillRect/>
        </a:stretch>
      </xdr:blipFill>
      <xdr:spPr>
        <a:xfrm>
          <a:off x="0" y="0"/>
          <a:ext cx="7110095" cy="10058400"/>
        </a:xfrm>
        <a:prstGeom prst="rect">
          <a:avLst/>
        </a:prstGeom>
      </xdr:spPr>
    </xdr:pic>
  </etc:cellImage>
  <etc:cellImage>
    <xdr:pic>
      <xdr:nvPicPr>
        <xdr:cNvPr id="466" name="ID_61E94C9AFF9045709153A07F5491D201" descr="风险防控图"/>
        <xdr:cNvPicPr/>
      </xdr:nvPicPr>
      <xdr:blipFill>
        <a:blip r:embed="rId12"/>
        <a:stretch>
          <a:fillRect/>
        </a:stretch>
      </xdr:blipFill>
      <xdr:spPr>
        <a:xfrm>
          <a:off x="0" y="0"/>
          <a:ext cx="7110095" cy="10058400"/>
        </a:xfrm>
        <a:prstGeom prst="rect">
          <a:avLst/>
        </a:prstGeom>
      </xdr:spPr>
    </xdr:pic>
  </etc:cellImage>
  <etc:cellImage>
    <xdr:pic>
      <xdr:nvPicPr>
        <xdr:cNvPr id="467" name="ID_4426F216107744E98F7646D7AE539D96" descr="风险防控图"/>
        <xdr:cNvPicPr/>
      </xdr:nvPicPr>
      <xdr:blipFill>
        <a:blip r:embed="rId12"/>
        <a:stretch>
          <a:fillRect/>
        </a:stretch>
      </xdr:blipFill>
      <xdr:spPr>
        <a:xfrm>
          <a:off x="0" y="0"/>
          <a:ext cx="7110095" cy="10058400"/>
        </a:xfrm>
        <a:prstGeom prst="rect">
          <a:avLst/>
        </a:prstGeom>
      </xdr:spPr>
    </xdr:pic>
  </etc:cellImage>
  <etc:cellImage>
    <xdr:pic>
      <xdr:nvPicPr>
        <xdr:cNvPr id="468" name="ID_6A449A3762ED4B7D992E061035B8C53A" descr="风险防控图"/>
        <xdr:cNvPicPr/>
      </xdr:nvPicPr>
      <xdr:blipFill>
        <a:blip r:embed="rId12"/>
        <a:stretch>
          <a:fillRect/>
        </a:stretch>
      </xdr:blipFill>
      <xdr:spPr>
        <a:xfrm>
          <a:off x="0" y="0"/>
          <a:ext cx="7110095" cy="10058400"/>
        </a:xfrm>
        <a:prstGeom prst="rect">
          <a:avLst/>
        </a:prstGeom>
      </xdr:spPr>
    </xdr:pic>
  </etc:cellImage>
  <etc:cellImage>
    <xdr:pic>
      <xdr:nvPicPr>
        <xdr:cNvPr id="469" name="ID_A94CE99E4E194D93A643F9624BFBFEF4" descr="风险防控图"/>
        <xdr:cNvPicPr/>
      </xdr:nvPicPr>
      <xdr:blipFill>
        <a:blip r:embed="rId12"/>
        <a:stretch>
          <a:fillRect/>
        </a:stretch>
      </xdr:blipFill>
      <xdr:spPr>
        <a:xfrm>
          <a:off x="0" y="0"/>
          <a:ext cx="7110095" cy="10058400"/>
        </a:xfrm>
        <a:prstGeom prst="rect">
          <a:avLst/>
        </a:prstGeom>
      </xdr:spPr>
    </xdr:pic>
  </etc:cellImage>
  <etc:cellImage>
    <xdr:pic>
      <xdr:nvPicPr>
        <xdr:cNvPr id="470" name="ID_6184377899704818ABE0A9F6A94278AD" descr="风险防控图"/>
        <xdr:cNvPicPr/>
      </xdr:nvPicPr>
      <xdr:blipFill>
        <a:blip r:embed="rId12"/>
        <a:stretch>
          <a:fillRect/>
        </a:stretch>
      </xdr:blipFill>
      <xdr:spPr>
        <a:xfrm>
          <a:off x="0" y="0"/>
          <a:ext cx="7110095" cy="10058400"/>
        </a:xfrm>
        <a:prstGeom prst="rect">
          <a:avLst/>
        </a:prstGeom>
      </xdr:spPr>
    </xdr:pic>
  </etc:cellImage>
  <etc:cellImage>
    <xdr:pic>
      <xdr:nvPicPr>
        <xdr:cNvPr id="471" name="ID_6B9EB7C36B074F18ACA273B796FF421F" descr="风险防控图"/>
        <xdr:cNvPicPr/>
      </xdr:nvPicPr>
      <xdr:blipFill>
        <a:blip r:embed="rId12"/>
        <a:stretch>
          <a:fillRect/>
        </a:stretch>
      </xdr:blipFill>
      <xdr:spPr>
        <a:xfrm>
          <a:off x="0" y="0"/>
          <a:ext cx="7110095" cy="10058400"/>
        </a:xfrm>
        <a:prstGeom prst="rect">
          <a:avLst/>
        </a:prstGeom>
      </xdr:spPr>
    </xdr:pic>
  </etc:cellImage>
  <etc:cellImage>
    <xdr:pic>
      <xdr:nvPicPr>
        <xdr:cNvPr id="472" name="ID_6ECF97AC85E441FAA450D4246387BE4A" descr="风险防控图"/>
        <xdr:cNvPicPr/>
      </xdr:nvPicPr>
      <xdr:blipFill>
        <a:blip r:embed="rId12"/>
        <a:stretch>
          <a:fillRect/>
        </a:stretch>
      </xdr:blipFill>
      <xdr:spPr>
        <a:xfrm>
          <a:off x="0" y="0"/>
          <a:ext cx="7110095" cy="10058400"/>
        </a:xfrm>
        <a:prstGeom prst="rect">
          <a:avLst/>
        </a:prstGeom>
      </xdr:spPr>
    </xdr:pic>
  </etc:cellImage>
  <etc:cellImage>
    <xdr:pic>
      <xdr:nvPicPr>
        <xdr:cNvPr id="473" name="ID_B169655AECE94798BC0281D375776F89" descr="风险防控图"/>
        <xdr:cNvPicPr/>
      </xdr:nvPicPr>
      <xdr:blipFill>
        <a:blip r:embed="rId12"/>
        <a:stretch>
          <a:fillRect/>
        </a:stretch>
      </xdr:blipFill>
      <xdr:spPr>
        <a:xfrm>
          <a:off x="0" y="0"/>
          <a:ext cx="7110095" cy="10058400"/>
        </a:xfrm>
        <a:prstGeom prst="rect">
          <a:avLst/>
        </a:prstGeom>
      </xdr:spPr>
    </xdr:pic>
  </etc:cellImage>
  <etc:cellImage>
    <xdr:pic>
      <xdr:nvPicPr>
        <xdr:cNvPr id="474" name="ID_270B67FFFEB34A96BEA865B0B423CFDB" descr="风险防控图"/>
        <xdr:cNvPicPr/>
      </xdr:nvPicPr>
      <xdr:blipFill>
        <a:blip r:embed="rId12"/>
        <a:stretch>
          <a:fillRect/>
        </a:stretch>
      </xdr:blipFill>
      <xdr:spPr>
        <a:xfrm>
          <a:off x="0" y="0"/>
          <a:ext cx="7110095" cy="10058400"/>
        </a:xfrm>
        <a:prstGeom prst="rect">
          <a:avLst/>
        </a:prstGeom>
      </xdr:spPr>
    </xdr:pic>
  </etc:cellImage>
  <etc:cellImage>
    <xdr:pic>
      <xdr:nvPicPr>
        <xdr:cNvPr id="475" name="ID_BEAD938EDAC54CB7806D71360D4523D5" descr="风险防控图"/>
        <xdr:cNvPicPr/>
      </xdr:nvPicPr>
      <xdr:blipFill>
        <a:blip r:embed="rId12"/>
        <a:stretch>
          <a:fillRect/>
        </a:stretch>
      </xdr:blipFill>
      <xdr:spPr>
        <a:xfrm>
          <a:off x="0" y="0"/>
          <a:ext cx="7110095" cy="10058400"/>
        </a:xfrm>
        <a:prstGeom prst="rect">
          <a:avLst/>
        </a:prstGeom>
      </xdr:spPr>
    </xdr:pic>
  </etc:cellImage>
  <etc:cellImage>
    <xdr:pic>
      <xdr:nvPicPr>
        <xdr:cNvPr id="476" name="ID_B968B5DE5969463BA7282E5F25EFDD18" descr="风险防控图"/>
        <xdr:cNvPicPr/>
      </xdr:nvPicPr>
      <xdr:blipFill>
        <a:blip r:embed="rId12"/>
        <a:stretch>
          <a:fillRect/>
        </a:stretch>
      </xdr:blipFill>
      <xdr:spPr>
        <a:xfrm>
          <a:off x="0" y="0"/>
          <a:ext cx="7110095" cy="10058400"/>
        </a:xfrm>
        <a:prstGeom prst="rect">
          <a:avLst/>
        </a:prstGeom>
      </xdr:spPr>
    </xdr:pic>
  </etc:cellImage>
  <etc:cellImage>
    <xdr:pic>
      <xdr:nvPicPr>
        <xdr:cNvPr id="477" name="ID_A6FDC9E792384C858305B789989E6C00" descr="风险防控图"/>
        <xdr:cNvPicPr/>
      </xdr:nvPicPr>
      <xdr:blipFill>
        <a:blip r:embed="rId12"/>
        <a:stretch>
          <a:fillRect/>
        </a:stretch>
      </xdr:blipFill>
      <xdr:spPr>
        <a:xfrm>
          <a:off x="0" y="0"/>
          <a:ext cx="7110095" cy="10058400"/>
        </a:xfrm>
        <a:prstGeom prst="rect">
          <a:avLst/>
        </a:prstGeom>
      </xdr:spPr>
    </xdr:pic>
  </etc:cellImage>
  <etc:cellImage>
    <xdr:pic>
      <xdr:nvPicPr>
        <xdr:cNvPr id="478" name="ID_0DDE67D3C360448D8DDD3C7E4D0C8E8A" descr="风险防控图"/>
        <xdr:cNvPicPr/>
      </xdr:nvPicPr>
      <xdr:blipFill>
        <a:blip r:embed="rId12"/>
        <a:stretch>
          <a:fillRect/>
        </a:stretch>
      </xdr:blipFill>
      <xdr:spPr>
        <a:xfrm>
          <a:off x="0" y="0"/>
          <a:ext cx="7110095" cy="10058400"/>
        </a:xfrm>
        <a:prstGeom prst="rect">
          <a:avLst/>
        </a:prstGeom>
      </xdr:spPr>
    </xdr:pic>
  </etc:cellImage>
  <etc:cellImage>
    <xdr:pic>
      <xdr:nvPicPr>
        <xdr:cNvPr id="479" name="ID_EE643A5D6BF84DFAAD03D5044443D265" descr="风险防控图"/>
        <xdr:cNvPicPr/>
      </xdr:nvPicPr>
      <xdr:blipFill>
        <a:blip r:embed="rId12"/>
        <a:stretch>
          <a:fillRect/>
        </a:stretch>
      </xdr:blipFill>
      <xdr:spPr>
        <a:xfrm>
          <a:off x="0" y="0"/>
          <a:ext cx="7110095" cy="10058400"/>
        </a:xfrm>
        <a:prstGeom prst="rect">
          <a:avLst/>
        </a:prstGeom>
      </xdr:spPr>
    </xdr:pic>
  </etc:cellImage>
  <etc:cellImage>
    <xdr:pic>
      <xdr:nvPicPr>
        <xdr:cNvPr id="480" name="ID_C6205684D6E041F08B5E3E34BE77209D" descr="风险防控图"/>
        <xdr:cNvPicPr/>
      </xdr:nvPicPr>
      <xdr:blipFill>
        <a:blip r:embed="rId12"/>
        <a:stretch>
          <a:fillRect/>
        </a:stretch>
      </xdr:blipFill>
      <xdr:spPr>
        <a:xfrm>
          <a:off x="0" y="0"/>
          <a:ext cx="7110095" cy="10058400"/>
        </a:xfrm>
        <a:prstGeom prst="rect">
          <a:avLst/>
        </a:prstGeom>
      </xdr:spPr>
    </xdr:pic>
  </etc:cellImage>
  <etc:cellImage>
    <xdr:pic>
      <xdr:nvPicPr>
        <xdr:cNvPr id="481" name="ID_E3637E8097A24226AA7D6FBE7713E0E1" descr="风险防控图"/>
        <xdr:cNvPicPr/>
      </xdr:nvPicPr>
      <xdr:blipFill>
        <a:blip r:embed="rId12"/>
        <a:stretch>
          <a:fillRect/>
        </a:stretch>
      </xdr:blipFill>
      <xdr:spPr>
        <a:xfrm>
          <a:off x="0" y="0"/>
          <a:ext cx="7110095" cy="10058400"/>
        </a:xfrm>
        <a:prstGeom prst="rect">
          <a:avLst/>
        </a:prstGeom>
      </xdr:spPr>
    </xdr:pic>
  </etc:cellImage>
  <etc:cellImage>
    <xdr:pic>
      <xdr:nvPicPr>
        <xdr:cNvPr id="482" name="ID_5A66F92DCF484A9BAE78A882BE2DFA96" descr="风险防控图"/>
        <xdr:cNvPicPr/>
      </xdr:nvPicPr>
      <xdr:blipFill>
        <a:blip r:embed="rId12"/>
        <a:stretch>
          <a:fillRect/>
        </a:stretch>
      </xdr:blipFill>
      <xdr:spPr>
        <a:xfrm>
          <a:off x="0" y="0"/>
          <a:ext cx="7110095" cy="10058400"/>
        </a:xfrm>
        <a:prstGeom prst="rect">
          <a:avLst/>
        </a:prstGeom>
      </xdr:spPr>
    </xdr:pic>
  </etc:cellImage>
  <etc:cellImage>
    <xdr:pic>
      <xdr:nvPicPr>
        <xdr:cNvPr id="483" name="ID_18251CC31C7145EAA0166B787DE7329A" descr="风险防控图"/>
        <xdr:cNvPicPr/>
      </xdr:nvPicPr>
      <xdr:blipFill>
        <a:blip r:embed="rId12"/>
        <a:stretch>
          <a:fillRect/>
        </a:stretch>
      </xdr:blipFill>
      <xdr:spPr>
        <a:xfrm>
          <a:off x="0" y="0"/>
          <a:ext cx="7110095" cy="10058400"/>
        </a:xfrm>
        <a:prstGeom prst="rect">
          <a:avLst/>
        </a:prstGeom>
      </xdr:spPr>
    </xdr:pic>
  </etc:cellImage>
  <etc:cellImage>
    <xdr:pic>
      <xdr:nvPicPr>
        <xdr:cNvPr id="484" name="ID_A269EE741894444DA6EEE5B6A121CA21" descr="风险防控图"/>
        <xdr:cNvPicPr/>
      </xdr:nvPicPr>
      <xdr:blipFill>
        <a:blip r:embed="rId12"/>
        <a:stretch>
          <a:fillRect/>
        </a:stretch>
      </xdr:blipFill>
      <xdr:spPr>
        <a:xfrm>
          <a:off x="0" y="0"/>
          <a:ext cx="7110095" cy="10058400"/>
        </a:xfrm>
        <a:prstGeom prst="rect">
          <a:avLst/>
        </a:prstGeom>
      </xdr:spPr>
    </xdr:pic>
  </etc:cellImage>
  <etc:cellImage>
    <xdr:pic>
      <xdr:nvPicPr>
        <xdr:cNvPr id="485" name="ID_95B597399224406F9CCCC553F679E65C" descr="风险防控图"/>
        <xdr:cNvPicPr/>
      </xdr:nvPicPr>
      <xdr:blipFill>
        <a:blip r:embed="rId12"/>
        <a:stretch>
          <a:fillRect/>
        </a:stretch>
      </xdr:blipFill>
      <xdr:spPr>
        <a:xfrm>
          <a:off x="0" y="0"/>
          <a:ext cx="7110095" cy="10058400"/>
        </a:xfrm>
        <a:prstGeom prst="rect">
          <a:avLst/>
        </a:prstGeom>
      </xdr:spPr>
    </xdr:pic>
  </etc:cellImage>
  <etc:cellImage>
    <xdr:pic>
      <xdr:nvPicPr>
        <xdr:cNvPr id="486" name="ID_D0940BB27DE7439C8F42A4B6EB64AE49" descr="风险防控图"/>
        <xdr:cNvPicPr/>
      </xdr:nvPicPr>
      <xdr:blipFill>
        <a:blip r:embed="rId12"/>
        <a:stretch>
          <a:fillRect/>
        </a:stretch>
      </xdr:blipFill>
      <xdr:spPr>
        <a:xfrm>
          <a:off x="0" y="0"/>
          <a:ext cx="7110095" cy="10058400"/>
        </a:xfrm>
        <a:prstGeom prst="rect">
          <a:avLst/>
        </a:prstGeom>
      </xdr:spPr>
    </xdr:pic>
  </etc:cellImage>
  <etc:cellImage>
    <xdr:pic>
      <xdr:nvPicPr>
        <xdr:cNvPr id="487" name="ID_199093C408184972AC71F2145C3B5777" descr="风险防控图"/>
        <xdr:cNvPicPr/>
      </xdr:nvPicPr>
      <xdr:blipFill>
        <a:blip r:embed="rId12"/>
        <a:stretch>
          <a:fillRect/>
        </a:stretch>
      </xdr:blipFill>
      <xdr:spPr>
        <a:xfrm>
          <a:off x="0" y="0"/>
          <a:ext cx="7110095" cy="10058400"/>
        </a:xfrm>
        <a:prstGeom prst="rect">
          <a:avLst/>
        </a:prstGeom>
      </xdr:spPr>
    </xdr:pic>
  </etc:cellImage>
  <etc:cellImage>
    <xdr:pic>
      <xdr:nvPicPr>
        <xdr:cNvPr id="488" name="ID_30C5E7E0DF154A239ECAD096AFF98FA9" descr="风险防控图"/>
        <xdr:cNvPicPr/>
      </xdr:nvPicPr>
      <xdr:blipFill>
        <a:blip r:embed="rId12"/>
        <a:stretch>
          <a:fillRect/>
        </a:stretch>
      </xdr:blipFill>
      <xdr:spPr>
        <a:xfrm>
          <a:off x="0" y="0"/>
          <a:ext cx="7110095" cy="10058400"/>
        </a:xfrm>
        <a:prstGeom prst="rect">
          <a:avLst/>
        </a:prstGeom>
      </xdr:spPr>
    </xdr:pic>
  </etc:cellImage>
  <etc:cellImage>
    <xdr:pic>
      <xdr:nvPicPr>
        <xdr:cNvPr id="489" name="ID_636013D3B45B4B60B52287C9111F32AE" descr="风险防控图"/>
        <xdr:cNvPicPr/>
      </xdr:nvPicPr>
      <xdr:blipFill>
        <a:blip r:embed="rId12"/>
        <a:stretch>
          <a:fillRect/>
        </a:stretch>
      </xdr:blipFill>
      <xdr:spPr>
        <a:xfrm>
          <a:off x="0" y="0"/>
          <a:ext cx="7110095" cy="10058400"/>
        </a:xfrm>
        <a:prstGeom prst="rect">
          <a:avLst/>
        </a:prstGeom>
      </xdr:spPr>
    </xdr:pic>
  </etc:cellImage>
  <etc:cellImage>
    <xdr:pic>
      <xdr:nvPicPr>
        <xdr:cNvPr id="490" name="ID_E5F2408F44384EB2AEAC9002E5B54B7D" descr="风险防控图"/>
        <xdr:cNvPicPr/>
      </xdr:nvPicPr>
      <xdr:blipFill>
        <a:blip r:embed="rId12"/>
        <a:stretch>
          <a:fillRect/>
        </a:stretch>
      </xdr:blipFill>
      <xdr:spPr>
        <a:xfrm>
          <a:off x="0" y="0"/>
          <a:ext cx="7110095" cy="10058400"/>
        </a:xfrm>
        <a:prstGeom prst="rect">
          <a:avLst/>
        </a:prstGeom>
      </xdr:spPr>
    </xdr:pic>
  </etc:cellImage>
  <etc:cellImage>
    <xdr:pic>
      <xdr:nvPicPr>
        <xdr:cNvPr id="491" name="ID_B4932E1C3D8C4014A3E4174FB2610970" descr="风险防控图"/>
        <xdr:cNvPicPr/>
      </xdr:nvPicPr>
      <xdr:blipFill>
        <a:blip r:embed="rId12"/>
        <a:stretch>
          <a:fillRect/>
        </a:stretch>
      </xdr:blipFill>
      <xdr:spPr>
        <a:xfrm>
          <a:off x="0" y="0"/>
          <a:ext cx="7110095" cy="10058400"/>
        </a:xfrm>
        <a:prstGeom prst="rect">
          <a:avLst/>
        </a:prstGeom>
      </xdr:spPr>
    </xdr:pic>
  </etc:cellImage>
  <etc:cellImage>
    <xdr:pic>
      <xdr:nvPicPr>
        <xdr:cNvPr id="492" name="ID_A2A3B55C0B444D94B6E3C45917A30FCF" descr="风险防控图"/>
        <xdr:cNvPicPr/>
      </xdr:nvPicPr>
      <xdr:blipFill>
        <a:blip r:embed="rId12"/>
        <a:stretch>
          <a:fillRect/>
        </a:stretch>
      </xdr:blipFill>
      <xdr:spPr>
        <a:xfrm>
          <a:off x="0" y="0"/>
          <a:ext cx="7110095" cy="10058400"/>
        </a:xfrm>
        <a:prstGeom prst="rect">
          <a:avLst/>
        </a:prstGeom>
      </xdr:spPr>
    </xdr:pic>
  </etc:cellImage>
  <etc:cellImage>
    <xdr:pic>
      <xdr:nvPicPr>
        <xdr:cNvPr id="493" name="ID_B73D2082261A4231BF6E3F112BB26ADB" descr="风险防控图"/>
        <xdr:cNvPicPr/>
      </xdr:nvPicPr>
      <xdr:blipFill>
        <a:blip r:embed="rId12"/>
        <a:stretch>
          <a:fillRect/>
        </a:stretch>
      </xdr:blipFill>
      <xdr:spPr>
        <a:xfrm>
          <a:off x="0" y="0"/>
          <a:ext cx="7110095" cy="10058400"/>
        </a:xfrm>
        <a:prstGeom prst="rect">
          <a:avLst/>
        </a:prstGeom>
      </xdr:spPr>
    </xdr:pic>
  </etc:cellImage>
  <etc:cellImage>
    <xdr:pic>
      <xdr:nvPicPr>
        <xdr:cNvPr id="494" name="ID_8F6FC1227FAE4109B08B5B8021DD77C4" descr="风险防控图"/>
        <xdr:cNvPicPr/>
      </xdr:nvPicPr>
      <xdr:blipFill>
        <a:blip r:embed="rId12"/>
        <a:stretch>
          <a:fillRect/>
        </a:stretch>
      </xdr:blipFill>
      <xdr:spPr>
        <a:xfrm>
          <a:off x="0" y="0"/>
          <a:ext cx="7110095" cy="10058400"/>
        </a:xfrm>
        <a:prstGeom prst="rect">
          <a:avLst/>
        </a:prstGeom>
      </xdr:spPr>
    </xdr:pic>
  </etc:cellImage>
  <etc:cellImage>
    <xdr:pic>
      <xdr:nvPicPr>
        <xdr:cNvPr id="495" name="ID_F7C33B98828040F28CB4C954EE4CBBBF" descr="风险防控图"/>
        <xdr:cNvPicPr/>
      </xdr:nvPicPr>
      <xdr:blipFill>
        <a:blip r:embed="rId12"/>
        <a:stretch>
          <a:fillRect/>
        </a:stretch>
      </xdr:blipFill>
      <xdr:spPr>
        <a:xfrm>
          <a:off x="0" y="0"/>
          <a:ext cx="7110095" cy="10058400"/>
        </a:xfrm>
        <a:prstGeom prst="rect">
          <a:avLst/>
        </a:prstGeom>
      </xdr:spPr>
    </xdr:pic>
  </etc:cellImage>
  <etc:cellImage>
    <xdr:pic>
      <xdr:nvPicPr>
        <xdr:cNvPr id="496" name="ID_BF539E18D9DB467F98710A663CC4EA43" descr="风险防控图"/>
        <xdr:cNvPicPr/>
      </xdr:nvPicPr>
      <xdr:blipFill>
        <a:blip r:embed="rId12"/>
        <a:stretch>
          <a:fillRect/>
        </a:stretch>
      </xdr:blipFill>
      <xdr:spPr>
        <a:xfrm>
          <a:off x="0" y="0"/>
          <a:ext cx="7110095" cy="10058400"/>
        </a:xfrm>
        <a:prstGeom prst="rect">
          <a:avLst/>
        </a:prstGeom>
      </xdr:spPr>
    </xdr:pic>
  </etc:cellImage>
  <etc:cellImage>
    <xdr:pic>
      <xdr:nvPicPr>
        <xdr:cNvPr id="497" name="ID_D983680ED9624A2F9EF58FC74A001AF3" descr="风险防控图"/>
        <xdr:cNvPicPr/>
      </xdr:nvPicPr>
      <xdr:blipFill>
        <a:blip r:embed="rId12"/>
        <a:stretch>
          <a:fillRect/>
        </a:stretch>
      </xdr:blipFill>
      <xdr:spPr>
        <a:xfrm>
          <a:off x="0" y="0"/>
          <a:ext cx="7110095" cy="10058400"/>
        </a:xfrm>
        <a:prstGeom prst="rect">
          <a:avLst/>
        </a:prstGeom>
      </xdr:spPr>
    </xdr:pic>
  </etc:cellImage>
  <etc:cellImage>
    <xdr:pic>
      <xdr:nvPicPr>
        <xdr:cNvPr id="498" name="ID_E3E1A32F914748ACB5129A65C4B3F5C8" descr="风险防控图"/>
        <xdr:cNvPicPr/>
      </xdr:nvPicPr>
      <xdr:blipFill>
        <a:blip r:embed="rId12"/>
        <a:stretch>
          <a:fillRect/>
        </a:stretch>
      </xdr:blipFill>
      <xdr:spPr>
        <a:xfrm>
          <a:off x="0" y="0"/>
          <a:ext cx="7110095" cy="10058400"/>
        </a:xfrm>
        <a:prstGeom prst="rect">
          <a:avLst/>
        </a:prstGeom>
      </xdr:spPr>
    </xdr:pic>
  </etc:cellImage>
  <etc:cellImage>
    <xdr:pic>
      <xdr:nvPicPr>
        <xdr:cNvPr id="499" name="ID_31C7DD7CA7E440E2BB459C6E08390481" descr="风险防控图"/>
        <xdr:cNvPicPr/>
      </xdr:nvPicPr>
      <xdr:blipFill>
        <a:blip r:embed="rId12"/>
        <a:stretch>
          <a:fillRect/>
        </a:stretch>
      </xdr:blipFill>
      <xdr:spPr>
        <a:xfrm>
          <a:off x="0" y="0"/>
          <a:ext cx="7110095" cy="10058400"/>
        </a:xfrm>
        <a:prstGeom prst="rect">
          <a:avLst/>
        </a:prstGeom>
      </xdr:spPr>
    </xdr:pic>
  </etc:cellImage>
  <etc:cellImage>
    <xdr:pic>
      <xdr:nvPicPr>
        <xdr:cNvPr id="500" name="ID_2460A7EE21F94246BC2C6DF88E49DFBC" descr="风险防控图"/>
        <xdr:cNvPicPr/>
      </xdr:nvPicPr>
      <xdr:blipFill>
        <a:blip r:embed="rId12"/>
        <a:stretch>
          <a:fillRect/>
        </a:stretch>
      </xdr:blipFill>
      <xdr:spPr>
        <a:xfrm>
          <a:off x="0" y="0"/>
          <a:ext cx="7110095" cy="10058400"/>
        </a:xfrm>
        <a:prstGeom prst="rect">
          <a:avLst/>
        </a:prstGeom>
      </xdr:spPr>
    </xdr:pic>
  </etc:cellImage>
  <etc:cellImage>
    <xdr:pic>
      <xdr:nvPicPr>
        <xdr:cNvPr id="501" name="ID_02C0762EDA454E5D8EA8C6E016A54B6E" descr="风险防控图"/>
        <xdr:cNvPicPr/>
      </xdr:nvPicPr>
      <xdr:blipFill>
        <a:blip r:embed="rId12"/>
        <a:stretch>
          <a:fillRect/>
        </a:stretch>
      </xdr:blipFill>
      <xdr:spPr>
        <a:xfrm>
          <a:off x="0" y="0"/>
          <a:ext cx="7110095" cy="10058400"/>
        </a:xfrm>
        <a:prstGeom prst="rect">
          <a:avLst/>
        </a:prstGeom>
      </xdr:spPr>
    </xdr:pic>
  </etc:cellImage>
  <etc:cellImage>
    <xdr:pic>
      <xdr:nvPicPr>
        <xdr:cNvPr id="502" name="ID_A0D487BC386A45968091851D590A6992" descr="风险防控图"/>
        <xdr:cNvPicPr/>
      </xdr:nvPicPr>
      <xdr:blipFill>
        <a:blip r:embed="rId12"/>
        <a:stretch>
          <a:fillRect/>
        </a:stretch>
      </xdr:blipFill>
      <xdr:spPr>
        <a:xfrm>
          <a:off x="0" y="0"/>
          <a:ext cx="7110095" cy="10058400"/>
        </a:xfrm>
        <a:prstGeom prst="rect">
          <a:avLst/>
        </a:prstGeom>
      </xdr:spPr>
    </xdr:pic>
  </etc:cellImage>
  <etc:cellImage>
    <xdr:pic>
      <xdr:nvPicPr>
        <xdr:cNvPr id="503" name="ID_B924E473193E414A88FA27356BB7F251" descr="风险防控图"/>
        <xdr:cNvPicPr/>
      </xdr:nvPicPr>
      <xdr:blipFill>
        <a:blip r:embed="rId12"/>
        <a:stretch>
          <a:fillRect/>
        </a:stretch>
      </xdr:blipFill>
      <xdr:spPr>
        <a:xfrm>
          <a:off x="0" y="0"/>
          <a:ext cx="7110095" cy="10058400"/>
        </a:xfrm>
        <a:prstGeom prst="rect">
          <a:avLst/>
        </a:prstGeom>
      </xdr:spPr>
    </xdr:pic>
  </etc:cellImage>
  <etc:cellImage>
    <xdr:pic>
      <xdr:nvPicPr>
        <xdr:cNvPr id="504" name="ID_558EBD569148403DA268F4556ADB68BF" descr="风险防控图"/>
        <xdr:cNvPicPr/>
      </xdr:nvPicPr>
      <xdr:blipFill>
        <a:blip r:embed="rId12"/>
        <a:stretch>
          <a:fillRect/>
        </a:stretch>
      </xdr:blipFill>
      <xdr:spPr>
        <a:xfrm>
          <a:off x="0" y="0"/>
          <a:ext cx="7110095" cy="10058400"/>
        </a:xfrm>
        <a:prstGeom prst="rect">
          <a:avLst/>
        </a:prstGeom>
      </xdr:spPr>
    </xdr:pic>
  </etc:cellImage>
  <etc:cellImage>
    <xdr:pic>
      <xdr:nvPicPr>
        <xdr:cNvPr id="505" name="ID_20B5FB27DDA94A91AF002105DE154E7A" descr="风险防控图"/>
        <xdr:cNvPicPr/>
      </xdr:nvPicPr>
      <xdr:blipFill>
        <a:blip r:embed="rId12"/>
        <a:stretch>
          <a:fillRect/>
        </a:stretch>
      </xdr:blipFill>
      <xdr:spPr>
        <a:xfrm>
          <a:off x="0" y="0"/>
          <a:ext cx="7110095" cy="10058400"/>
        </a:xfrm>
        <a:prstGeom prst="rect">
          <a:avLst/>
        </a:prstGeom>
      </xdr:spPr>
    </xdr:pic>
  </etc:cellImage>
  <etc:cellImage>
    <xdr:pic>
      <xdr:nvPicPr>
        <xdr:cNvPr id="506" name="ID_9627EBED38C34BBDABA6746FD5679EDD" descr="风险防控图"/>
        <xdr:cNvPicPr/>
      </xdr:nvPicPr>
      <xdr:blipFill>
        <a:blip r:embed="rId12"/>
        <a:stretch>
          <a:fillRect/>
        </a:stretch>
      </xdr:blipFill>
      <xdr:spPr>
        <a:xfrm>
          <a:off x="0" y="0"/>
          <a:ext cx="7110095" cy="10058400"/>
        </a:xfrm>
        <a:prstGeom prst="rect">
          <a:avLst/>
        </a:prstGeom>
      </xdr:spPr>
    </xdr:pic>
  </etc:cellImage>
  <etc:cellImage>
    <xdr:pic>
      <xdr:nvPicPr>
        <xdr:cNvPr id="507" name="ID_ECBDE934FB5F4B939E26110EA210DCD7" descr="风险防控图"/>
        <xdr:cNvPicPr/>
      </xdr:nvPicPr>
      <xdr:blipFill>
        <a:blip r:embed="rId12"/>
        <a:stretch>
          <a:fillRect/>
        </a:stretch>
      </xdr:blipFill>
      <xdr:spPr>
        <a:xfrm>
          <a:off x="0" y="0"/>
          <a:ext cx="7110095" cy="10058400"/>
        </a:xfrm>
        <a:prstGeom prst="rect">
          <a:avLst/>
        </a:prstGeom>
      </xdr:spPr>
    </xdr:pic>
  </etc:cellImage>
  <etc:cellImage>
    <xdr:pic>
      <xdr:nvPicPr>
        <xdr:cNvPr id="508" name="ID_88CE2F45313C4533A0C45C0DFC2CE80D" descr="风险防控图"/>
        <xdr:cNvPicPr/>
      </xdr:nvPicPr>
      <xdr:blipFill>
        <a:blip r:embed="rId12"/>
        <a:stretch>
          <a:fillRect/>
        </a:stretch>
      </xdr:blipFill>
      <xdr:spPr>
        <a:xfrm>
          <a:off x="0" y="0"/>
          <a:ext cx="7110095" cy="10058400"/>
        </a:xfrm>
        <a:prstGeom prst="rect">
          <a:avLst/>
        </a:prstGeom>
      </xdr:spPr>
    </xdr:pic>
  </etc:cellImage>
  <etc:cellImage>
    <xdr:pic>
      <xdr:nvPicPr>
        <xdr:cNvPr id="509" name="ID_810827EEF3924830AEAE8F840004A026" descr="风险防控图"/>
        <xdr:cNvPicPr/>
      </xdr:nvPicPr>
      <xdr:blipFill>
        <a:blip r:embed="rId12"/>
        <a:stretch>
          <a:fillRect/>
        </a:stretch>
      </xdr:blipFill>
      <xdr:spPr>
        <a:xfrm>
          <a:off x="0" y="0"/>
          <a:ext cx="7110095" cy="10058400"/>
        </a:xfrm>
        <a:prstGeom prst="rect">
          <a:avLst/>
        </a:prstGeom>
      </xdr:spPr>
    </xdr:pic>
  </etc:cellImage>
  <etc:cellImage>
    <xdr:pic>
      <xdr:nvPicPr>
        <xdr:cNvPr id="510" name="ID_EACF8F79085D45599E343B74C0E19419" descr="风险防控图"/>
        <xdr:cNvPicPr/>
      </xdr:nvPicPr>
      <xdr:blipFill>
        <a:blip r:embed="rId12"/>
        <a:stretch>
          <a:fillRect/>
        </a:stretch>
      </xdr:blipFill>
      <xdr:spPr>
        <a:xfrm>
          <a:off x="0" y="0"/>
          <a:ext cx="7110095" cy="10058400"/>
        </a:xfrm>
        <a:prstGeom prst="rect">
          <a:avLst/>
        </a:prstGeom>
      </xdr:spPr>
    </xdr:pic>
  </etc:cellImage>
  <etc:cellImage>
    <xdr:pic>
      <xdr:nvPicPr>
        <xdr:cNvPr id="511" name="ID_4BACCDD7C31B455CB9B0A2CAFC584964" descr="风险防控图"/>
        <xdr:cNvPicPr/>
      </xdr:nvPicPr>
      <xdr:blipFill>
        <a:blip r:embed="rId12"/>
        <a:stretch>
          <a:fillRect/>
        </a:stretch>
      </xdr:blipFill>
      <xdr:spPr>
        <a:xfrm>
          <a:off x="0" y="0"/>
          <a:ext cx="7110095" cy="10058400"/>
        </a:xfrm>
        <a:prstGeom prst="rect">
          <a:avLst/>
        </a:prstGeom>
      </xdr:spPr>
    </xdr:pic>
  </etc:cellImage>
  <etc:cellImage>
    <xdr:pic>
      <xdr:nvPicPr>
        <xdr:cNvPr id="512" name="ID_20799047C0EE49A88CBAD368B9E090DD" descr="风险防控图"/>
        <xdr:cNvPicPr/>
      </xdr:nvPicPr>
      <xdr:blipFill>
        <a:blip r:embed="rId12"/>
        <a:stretch>
          <a:fillRect/>
        </a:stretch>
      </xdr:blipFill>
      <xdr:spPr>
        <a:xfrm>
          <a:off x="0" y="0"/>
          <a:ext cx="7110095" cy="10058400"/>
        </a:xfrm>
        <a:prstGeom prst="rect">
          <a:avLst/>
        </a:prstGeom>
      </xdr:spPr>
    </xdr:pic>
  </etc:cellImage>
  <etc:cellImage>
    <xdr:pic>
      <xdr:nvPicPr>
        <xdr:cNvPr id="513" name="ID_3DAFC547467F4EE18C0F3021421B9808" descr="风险防控图"/>
        <xdr:cNvPicPr/>
      </xdr:nvPicPr>
      <xdr:blipFill>
        <a:blip r:embed="rId12"/>
        <a:stretch>
          <a:fillRect/>
        </a:stretch>
      </xdr:blipFill>
      <xdr:spPr>
        <a:xfrm>
          <a:off x="0" y="0"/>
          <a:ext cx="7110095" cy="10058400"/>
        </a:xfrm>
        <a:prstGeom prst="rect">
          <a:avLst/>
        </a:prstGeom>
      </xdr:spPr>
    </xdr:pic>
  </etc:cellImage>
  <etc:cellImage>
    <xdr:pic>
      <xdr:nvPicPr>
        <xdr:cNvPr id="514" name="ID_4049371AAC8F45A9A59898ACC84E8D0C" descr="风险防控图"/>
        <xdr:cNvPicPr/>
      </xdr:nvPicPr>
      <xdr:blipFill>
        <a:blip r:embed="rId12"/>
        <a:stretch>
          <a:fillRect/>
        </a:stretch>
      </xdr:blipFill>
      <xdr:spPr>
        <a:xfrm>
          <a:off x="0" y="0"/>
          <a:ext cx="7110095" cy="10058400"/>
        </a:xfrm>
        <a:prstGeom prst="rect">
          <a:avLst/>
        </a:prstGeom>
      </xdr:spPr>
    </xdr:pic>
  </etc:cellImage>
  <etc:cellImage>
    <xdr:pic>
      <xdr:nvPicPr>
        <xdr:cNvPr id="515" name="ID_0AB4C7ADF44C4036A33935212041E1AD" descr="风险防控图"/>
        <xdr:cNvPicPr/>
      </xdr:nvPicPr>
      <xdr:blipFill>
        <a:blip r:embed="rId12"/>
        <a:stretch>
          <a:fillRect/>
        </a:stretch>
      </xdr:blipFill>
      <xdr:spPr>
        <a:xfrm>
          <a:off x="0" y="0"/>
          <a:ext cx="7110095" cy="10058400"/>
        </a:xfrm>
        <a:prstGeom prst="rect">
          <a:avLst/>
        </a:prstGeom>
      </xdr:spPr>
    </xdr:pic>
  </etc:cellImage>
  <etc:cellImage>
    <xdr:pic>
      <xdr:nvPicPr>
        <xdr:cNvPr id="516" name="ID_85AD0C7CE6B44E38BDB369E5EA49687B" descr="风险防控图"/>
        <xdr:cNvPicPr/>
      </xdr:nvPicPr>
      <xdr:blipFill>
        <a:blip r:embed="rId12"/>
        <a:stretch>
          <a:fillRect/>
        </a:stretch>
      </xdr:blipFill>
      <xdr:spPr>
        <a:xfrm>
          <a:off x="0" y="0"/>
          <a:ext cx="7110095" cy="10058400"/>
        </a:xfrm>
        <a:prstGeom prst="rect">
          <a:avLst/>
        </a:prstGeom>
      </xdr:spPr>
    </xdr:pic>
  </etc:cellImage>
  <etc:cellImage>
    <xdr:pic>
      <xdr:nvPicPr>
        <xdr:cNvPr id="517" name="ID_46F1AAAFB19242838CA181360A6B873D" descr="风险防控图"/>
        <xdr:cNvPicPr/>
      </xdr:nvPicPr>
      <xdr:blipFill>
        <a:blip r:embed="rId12"/>
        <a:stretch>
          <a:fillRect/>
        </a:stretch>
      </xdr:blipFill>
      <xdr:spPr>
        <a:xfrm>
          <a:off x="0" y="0"/>
          <a:ext cx="7110095" cy="10058400"/>
        </a:xfrm>
        <a:prstGeom prst="rect">
          <a:avLst/>
        </a:prstGeom>
      </xdr:spPr>
    </xdr:pic>
  </etc:cellImage>
  <etc:cellImage>
    <xdr:pic>
      <xdr:nvPicPr>
        <xdr:cNvPr id="518" name="ID_3BECF800D57B4090998C0C1A26C9A48B" descr="风险防控图"/>
        <xdr:cNvPicPr/>
      </xdr:nvPicPr>
      <xdr:blipFill>
        <a:blip r:embed="rId12"/>
        <a:stretch>
          <a:fillRect/>
        </a:stretch>
      </xdr:blipFill>
      <xdr:spPr>
        <a:xfrm>
          <a:off x="0" y="0"/>
          <a:ext cx="7110095" cy="10058400"/>
        </a:xfrm>
        <a:prstGeom prst="rect">
          <a:avLst/>
        </a:prstGeom>
      </xdr:spPr>
    </xdr:pic>
  </etc:cellImage>
  <etc:cellImage>
    <xdr:pic>
      <xdr:nvPicPr>
        <xdr:cNvPr id="519" name="ID_1B851B7A11A8423FB0CCC17A6EB5D998" descr="风险防控图"/>
        <xdr:cNvPicPr/>
      </xdr:nvPicPr>
      <xdr:blipFill>
        <a:blip r:embed="rId12"/>
        <a:stretch>
          <a:fillRect/>
        </a:stretch>
      </xdr:blipFill>
      <xdr:spPr>
        <a:xfrm>
          <a:off x="0" y="0"/>
          <a:ext cx="7110095" cy="10058400"/>
        </a:xfrm>
        <a:prstGeom prst="rect">
          <a:avLst/>
        </a:prstGeom>
      </xdr:spPr>
    </xdr:pic>
  </etc:cellImage>
  <etc:cellImage>
    <xdr:pic>
      <xdr:nvPicPr>
        <xdr:cNvPr id="520" name="ID_83C005F43DC94CA6851C6E399B7914C6" descr="风险防控图"/>
        <xdr:cNvPicPr/>
      </xdr:nvPicPr>
      <xdr:blipFill>
        <a:blip r:embed="rId12"/>
        <a:stretch>
          <a:fillRect/>
        </a:stretch>
      </xdr:blipFill>
      <xdr:spPr>
        <a:xfrm>
          <a:off x="0" y="0"/>
          <a:ext cx="7110095" cy="10058400"/>
        </a:xfrm>
        <a:prstGeom prst="rect">
          <a:avLst/>
        </a:prstGeom>
      </xdr:spPr>
    </xdr:pic>
  </etc:cellImage>
  <etc:cellImage>
    <xdr:pic>
      <xdr:nvPicPr>
        <xdr:cNvPr id="521" name="ID_DDD56DC696744D50948A54EDB4EE39F6" descr="风险防控图"/>
        <xdr:cNvPicPr/>
      </xdr:nvPicPr>
      <xdr:blipFill>
        <a:blip r:embed="rId12"/>
        <a:stretch>
          <a:fillRect/>
        </a:stretch>
      </xdr:blipFill>
      <xdr:spPr>
        <a:xfrm>
          <a:off x="0" y="0"/>
          <a:ext cx="7110095" cy="10058400"/>
        </a:xfrm>
        <a:prstGeom prst="rect">
          <a:avLst/>
        </a:prstGeom>
      </xdr:spPr>
    </xdr:pic>
  </etc:cellImage>
  <etc:cellImage>
    <xdr:pic>
      <xdr:nvPicPr>
        <xdr:cNvPr id="522" name="ID_DE477B37AF164AC3A97D64CC5242FE29" descr="风险防控图"/>
        <xdr:cNvPicPr/>
      </xdr:nvPicPr>
      <xdr:blipFill>
        <a:blip r:embed="rId12"/>
        <a:stretch>
          <a:fillRect/>
        </a:stretch>
      </xdr:blipFill>
      <xdr:spPr>
        <a:xfrm>
          <a:off x="0" y="0"/>
          <a:ext cx="7110095" cy="10058400"/>
        </a:xfrm>
        <a:prstGeom prst="rect">
          <a:avLst/>
        </a:prstGeom>
      </xdr:spPr>
    </xdr:pic>
  </etc:cellImage>
  <etc:cellImage>
    <xdr:pic>
      <xdr:nvPicPr>
        <xdr:cNvPr id="523" name="ID_5CE5E26D227A47359361AB041D6815F8" descr="风险防控图"/>
        <xdr:cNvPicPr/>
      </xdr:nvPicPr>
      <xdr:blipFill>
        <a:blip r:embed="rId12"/>
        <a:stretch>
          <a:fillRect/>
        </a:stretch>
      </xdr:blipFill>
      <xdr:spPr>
        <a:xfrm>
          <a:off x="0" y="0"/>
          <a:ext cx="7110095" cy="10058400"/>
        </a:xfrm>
        <a:prstGeom prst="rect">
          <a:avLst/>
        </a:prstGeom>
      </xdr:spPr>
    </xdr:pic>
  </etc:cellImage>
  <etc:cellImage>
    <xdr:pic>
      <xdr:nvPicPr>
        <xdr:cNvPr id="524" name="ID_5AF4C0D0D46242AA8C6FA36DC7BD9869" descr="风险防控图"/>
        <xdr:cNvPicPr/>
      </xdr:nvPicPr>
      <xdr:blipFill>
        <a:blip r:embed="rId12"/>
        <a:stretch>
          <a:fillRect/>
        </a:stretch>
      </xdr:blipFill>
      <xdr:spPr>
        <a:xfrm>
          <a:off x="0" y="0"/>
          <a:ext cx="7110095" cy="10058400"/>
        </a:xfrm>
        <a:prstGeom prst="rect">
          <a:avLst/>
        </a:prstGeom>
      </xdr:spPr>
    </xdr:pic>
  </etc:cellImage>
  <etc:cellImage>
    <xdr:pic>
      <xdr:nvPicPr>
        <xdr:cNvPr id="525" name="ID_0DC48562CCC141DBAA14E0BF56103D77" descr="风险防控图"/>
        <xdr:cNvPicPr/>
      </xdr:nvPicPr>
      <xdr:blipFill>
        <a:blip r:embed="rId12"/>
        <a:stretch>
          <a:fillRect/>
        </a:stretch>
      </xdr:blipFill>
      <xdr:spPr>
        <a:xfrm>
          <a:off x="0" y="0"/>
          <a:ext cx="7110095" cy="10058400"/>
        </a:xfrm>
        <a:prstGeom prst="rect">
          <a:avLst/>
        </a:prstGeom>
      </xdr:spPr>
    </xdr:pic>
  </etc:cellImage>
  <etc:cellImage>
    <xdr:pic>
      <xdr:nvPicPr>
        <xdr:cNvPr id="526" name="ID_24B8E6A804144C8FBB82FD663CEF5003" descr="风险防控图"/>
        <xdr:cNvPicPr/>
      </xdr:nvPicPr>
      <xdr:blipFill>
        <a:blip r:embed="rId12"/>
        <a:stretch>
          <a:fillRect/>
        </a:stretch>
      </xdr:blipFill>
      <xdr:spPr>
        <a:xfrm>
          <a:off x="0" y="0"/>
          <a:ext cx="7110095" cy="10058400"/>
        </a:xfrm>
        <a:prstGeom prst="rect">
          <a:avLst/>
        </a:prstGeom>
      </xdr:spPr>
    </xdr:pic>
  </etc:cellImage>
  <etc:cellImage>
    <xdr:pic>
      <xdr:nvPicPr>
        <xdr:cNvPr id="527" name="ID_3710CC8D0C114AB4BC21F349C3CA8610" descr="风险防控图"/>
        <xdr:cNvPicPr/>
      </xdr:nvPicPr>
      <xdr:blipFill>
        <a:blip r:embed="rId12"/>
        <a:stretch>
          <a:fillRect/>
        </a:stretch>
      </xdr:blipFill>
      <xdr:spPr>
        <a:xfrm>
          <a:off x="0" y="0"/>
          <a:ext cx="7110095" cy="10058400"/>
        </a:xfrm>
        <a:prstGeom prst="rect">
          <a:avLst/>
        </a:prstGeom>
      </xdr:spPr>
    </xdr:pic>
  </etc:cellImage>
  <etc:cellImage>
    <xdr:pic>
      <xdr:nvPicPr>
        <xdr:cNvPr id="528" name="ID_61C8B3897565462E979B9747DD887050" descr="风险防控图"/>
        <xdr:cNvPicPr/>
      </xdr:nvPicPr>
      <xdr:blipFill>
        <a:blip r:embed="rId12"/>
        <a:stretch>
          <a:fillRect/>
        </a:stretch>
      </xdr:blipFill>
      <xdr:spPr>
        <a:xfrm>
          <a:off x="0" y="0"/>
          <a:ext cx="7110095" cy="10058400"/>
        </a:xfrm>
        <a:prstGeom prst="rect">
          <a:avLst/>
        </a:prstGeom>
      </xdr:spPr>
    </xdr:pic>
  </etc:cellImage>
  <etc:cellImage>
    <xdr:pic>
      <xdr:nvPicPr>
        <xdr:cNvPr id="529" name="ID_7C3EDCE3C7D5497FB40A5FBC49B7ACD1" descr="风险防控图"/>
        <xdr:cNvPicPr/>
      </xdr:nvPicPr>
      <xdr:blipFill>
        <a:blip r:embed="rId12"/>
        <a:stretch>
          <a:fillRect/>
        </a:stretch>
      </xdr:blipFill>
      <xdr:spPr>
        <a:xfrm>
          <a:off x="0" y="0"/>
          <a:ext cx="7110095" cy="10058400"/>
        </a:xfrm>
        <a:prstGeom prst="rect">
          <a:avLst/>
        </a:prstGeom>
      </xdr:spPr>
    </xdr:pic>
  </etc:cellImage>
  <etc:cellImage>
    <xdr:pic>
      <xdr:nvPicPr>
        <xdr:cNvPr id="530" name="ID_E7690871E44845979AF8046A24F28FBC" descr="风险防控图"/>
        <xdr:cNvPicPr/>
      </xdr:nvPicPr>
      <xdr:blipFill>
        <a:blip r:embed="rId12"/>
        <a:stretch>
          <a:fillRect/>
        </a:stretch>
      </xdr:blipFill>
      <xdr:spPr>
        <a:xfrm>
          <a:off x="0" y="0"/>
          <a:ext cx="7110095" cy="10058400"/>
        </a:xfrm>
        <a:prstGeom prst="rect">
          <a:avLst/>
        </a:prstGeom>
      </xdr:spPr>
    </xdr:pic>
  </etc:cellImage>
  <etc:cellImage>
    <xdr:pic>
      <xdr:nvPicPr>
        <xdr:cNvPr id="531" name="ID_1DC22F15AE4C42A79C599BFCCE535302" descr="风险防控图"/>
        <xdr:cNvPicPr/>
      </xdr:nvPicPr>
      <xdr:blipFill>
        <a:blip r:embed="rId12"/>
        <a:stretch>
          <a:fillRect/>
        </a:stretch>
      </xdr:blipFill>
      <xdr:spPr>
        <a:xfrm>
          <a:off x="0" y="0"/>
          <a:ext cx="7110095" cy="10058400"/>
        </a:xfrm>
        <a:prstGeom prst="rect">
          <a:avLst/>
        </a:prstGeom>
      </xdr:spPr>
    </xdr:pic>
  </etc:cellImage>
</etc:cellImages>
</file>

<file path=xl/sharedStrings.xml><?xml version="1.0" encoding="utf-8"?>
<sst xmlns="http://schemas.openxmlformats.org/spreadsheetml/2006/main" count="2127" uniqueCount="925">
  <si>
    <t>朔州市朔城区政府部门权责清单</t>
  </si>
  <si>
    <t>单位名称： 朔城区应急管理局</t>
  </si>
  <si>
    <t>序号</t>
  </si>
  <si>
    <t>职权       类别</t>
  </si>
  <si>
    <t>职权       编码</t>
  </si>
  <si>
    <t>职权名称</t>
  </si>
  <si>
    <t>职权依据</t>
  </si>
  <si>
    <t>责任事项</t>
  </si>
  <si>
    <t>责任事   项依据</t>
  </si>
  <si>
    <t>权力级别（省、市县）</t>
  </si>
  <si>
    <t>行使主体</t>
  </si>
  <si>
    <t>流程图</t>
  </si>
  <si>
    <t>防控图</t>
  </si>
  <si>
    <t>主项</t>
  </si>
  <si>
    <t>子项</t>
  </si>
  <si>
    <t>行政处罚</t>
  </si>
  <si>
    <t>3200-B-00100-140602</t>
  </si>
  <si>
    <t>对未取得安全生产许可证擅自进行生产的处罚</t>
  </si>
  <si>
    <t>1.【法律】《安全生产法》（2002年6月29日通过，2014年8月31日修正）第九十七条：“未经依法批准，擅自生产、经营、运输、储存、使用危险物品或者处置废弃危险物品的，依照有关危险物品安全管理的法律、行政法规的规定予以处罚；构成犯罪的，依照刑法有关规定追究刑事责任。”
2.【行政法规】《安全生产许可证条例》（国务院令第397号，2014年7月修改） 第十九条：“违反本条例规定，未取得安全生产许可证擅自进行生产的，责令停止生产，没收违法所得，并处10万元以上50万元以下的罚款；造成重大事故或者其他严重后果，构成犯罪的，依法追究刑事责任。”
3.【部门规章】《非煤矿矿山企业安全生产许可证实施办法》（原国家安全监管总局令第20号，2015年5月修改）第四十二条：“非煤矿矿山企业有下列行为之一的，责令停止生产，没收违法所得，并处10万元以上50万元以下的罚款：（一）未取得安全生产许可证，擅自进行生产的；”
4.【部门规章】《小型露天采石场安全管理与监督检查规定》（原国家安全监管总局令第39号，2015年5月修改）第三十八条：“违反本规定第十一条第一款规定的，责令停止生产，没收违法所得，并处10万元以上50万元以下的罚款。”
5.【部门规章】《烟花爆竹生产企业安全生产许可证实施办法》（原国家安全监管总局令第54号）第四十六条：“企业有下列行为之一的，责令停止生产，没收违法所得，并处10万元以上50万元以下的罚款：（一）未取得安全生产许可证擅自进行烟花爆竹生产的；”
6.【部门规章】《危险化学品生产企业安全生产许可证实施办法》（2011年8月原国家安全监管总局令第41号公布 2017年3月原国家安全监管总局令第89号修正）第四十五条：“企业有下列情形之一的，责令停止生产危险化学品，没收违法所得，并处10万元以上50万元以下的罚款；构成犯罪的，依法追究刑事责任：（一）未取得安全生产许可证，擅自进行危险化学品生产的；”</t>
  </si>
  <si>
    <t>1.立案责任：对检查发现、举报、移交的企业主要负责人、安全生产管理人员未履行安全生产管理职责的违法案件，予以审查，决定是否立案。 2.调查责任：对已经立案的案件，进行调查时，执法人员不得少于两人，与当事人有直接利害关系的应当回避。调查时应出示执法证件，收集相关证据，允许当事人辩解陈述，执法人员应保守有关秘密。调查结束后作为《调查报告》。 3.审查责任：对案件违法事实、证据、调查取证程序、法律适用、处罚种类和幅度、当事人陈述和申辩理由等方面进行审查，提出处理意见，报分管厅长审核（对于严重违法行为的行政处罚案件，由厅领导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依法撤销其相关证书。作出撤销资格的，要进行公告。按照重案行政处罚备案的规定进行备案。 8.其他：法律法规规章规定应履行的责任。"</t>
  </si>
  <si>
    <t>1、《行政处罚法》: 《行政处罚法》第三十一条 第三十二条 第三十六条～第四十二条 第四十四条 第五十一条
  2、《山西省行政执法条例》:《山西省行政执法条例》第二十条～第二十三条
  3、《安全生产违法行为行政处罚办法》: 《安全生产违法行为行政处罚办法》（2007年国家安监总局令第15号，2015年修订）第十三条 第十八条～第四十二条 第五十七条～第六十六条</t>
  </si>
  <si>
    <t>县</t>
  </si>
  <si>
    <t>朔城区应急管理局</t>
  </si>
  <si>
    <t>3200-B-00200-140602</t>
  </si>
  <si>
    <t>对生产经营单位及其有关人员弄虚作假，骗取或者勾结、串通行政审批工作人员取得安全生产许可证书及其他批准文件的处罚</t>
  </si>
  <si>
    <t>1.【部门规章】《安全生产违法行为行政处罚办法》（原国家安全监管总局令第15号，2015年4月修改）第五十一条：“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（一）生产经营单位有违法所得的，没收违法所得，并处违法所得1倍以上3倍以下的罚款，但是最高不得超过3万元；没有违法所得的，并处5千元以上1万元以下的罚款；（二）
对有关人员处1千元以上1万元以下的罚款。有前款规定违法行为的生产经营单位及其有关人员在3年内不得再次申请该行政许可。”</t>
  </si>
  <si>
    <t>1.【法律法规规章】《行政处罚法》《行政机关公务员处分条例》等规定的追责情形。</t>
  </si>
  <si>
    <t>3200-B-00300-140602</t>
  </si>
  <si>
    <t>对安全生产许可证有效期满未办理延期手续，继续进行生产的处罚</t>
  </si>
  <si>
    <t>1.【行政法规】《安全生产许可证条例》（国务院令第397
号，2014年7月修改）第二十条：“违反本条例规定，安全
生产许可证有效期满未办理延期手续，继续进行生产的，责
令停止生产，限期补办延期手续，没收违法所得，并处5万
元以上10万元以下的罚款；逾期仍不办理延期手续，继续进
行生产的，依照本条例第十九条的规定处罚。”第十九条：
“违反本条例规定，未取得安全生产许可证擅自进行生产
的，责令停止生产，没收违法所得，并处10万元以上50万元
以下的罚款；造成重大事故或者其他严重后果，构成犯罪
的，依法追究刑事责任。”
2.【部门规章】《非煤矿矿山企业安全生产许可证实施办法
》（原国家安全监管总局令第20号，2015年5月修改）第四
十五条：“非煤矿矿山企业在安全生产许可证有效期满未办
理延期手续，继续进行生产的，责令停止生产，限期补办延
期手续，没收违法所得，并处5万元以上10万元以下的罚
款；逾期仍不办理延期手续，继续进行生产的，依照本实施
办法第四十二条的规定处罚。”第四十二条：“：“非煤矿
矿山企业有下列行为之一的，责令停止生产，没收违法所
得，并处10万元以上50万元以下的罚款：（一）未取得安全
生产许可证，擅自进行生产的；（二）接受转让的安全生产
许可证的；（三）冒用安全生产许可证的；（四）使用伪造
的安全生产许可证的。”
3.【部门规章】《危险化学品生产企业安全生产许可证实施
办法》（2011年8月原国家安全监管总局令第41号公布 2017
年3月原国家安全监管总局令第89号修正）第四十六条：“
企业在安全生产许可证有效期届满未办理延期手续，继续进
行生产的，责令停止生产，限期补办延期手续，没收违法所
得，并处5万元以上10万元以下的罚款；逾期仍不办理延期
手续，继续进行生产的，依照本办法第四十五条的规定进行
处罚。”第四十五条：“企业有下列情形之一的，责令停止
生产危险化学品，没收违法所得，并处10万元以上50万元以
下的罚款；构成犯罪的，依法追究刑事责任：（一）未取得
安全生产许可证，擅自进行危险化学品生产的；（二）接受
转让的安全生产许可证的；（三）冒用或者使用伪造的安全
生产许可证的。”</t>
  </si>
  <si>
    <t>3200-B-00400-140602</t>
  </si>
  <si>
    <t>对接受转让、冒用安全生产许可证或者使用伪造的安全生产许可证的处罚</t>
  </si>
  <si>
    <t>1.【部门规章】《非煤矿矿山企业安全生产许可证实施办法
》（原国家安全监管总局令第20号，2015年5月修改）第四
十二条：“非煤矿矿山企业有下列行为之一的，责令停止生
产，没收违法所得，并处10万元以上50万元以下的罚款：
（二）接受转让的安全生产许可证的；（三）冒用安全生产
许可证的；（四）使用伪造的安全生产许可证的。”
2.【部门规章】《危险化学品生产企业安全生产许可证实施
办法》（2011年8月原国家安全监管总局令第41号公布 2017
年3月原国家安全监管总局令第89号修正）（原国家安全监
管总局令第41号，2017年3月修改）第四十五条：“企业有
下列情形之一的，责令停止生产危险化学品，没收违法所
得，并处10万元以上50万元以下的罚款；构成犯罪的，依法
追究刑事责任：（二）接受转让的安全生产许可证的；
（三）冒用或者使用伪造的安全生产许可证的。”
3.【部门规章】《安全生产违法行为行政处罚办法》（原国
家安全监管总局令第15号，2015年4月修改）第四十九条：
“生产经营单位转让安全生产许可证的，没收违法所得，吊
销安全生产许可证，并按照下列规定处以罚款：（一）接受
转让的单位和个人未发生生产安全事故的，处10万元以上30
万元以下的罚款；（二）接受转让的单位和个人发生生产安
全事故但没有造成人员死亡的，处30万元以上40万元以下的
罚款；（三）接受转让的单位和个人发生人员死亡生产安全
事故的，处40万元以上50万元以下的罚款。”</t>
  </si>
  <si>
    <t>3200-B-00500-140602</t>
  </si>
  <si>
    <t>对违反规定，出租、转让安全生产许可证的处罚</t>
  </si>
  <si>
    <t>1.【行政法规】《安全生产许可证条例》（国务院令第397号，2014年7月修改）第二十一条：“违反本条例规定，转让安全生产许可证的，没收违法所得，处10万元以上50万元以下的罚款，并吊销其安全生产许可证；”
2.【部门规章】《非煤矿矿山企业安全生产许可证实施办法》（原国家安全监管总局令第20号，2015年5月修改）第四十六条：“非煤矿矿山企业转让安全生产许可证的，没收违
法所得，并处10万元以上50万元以下的罚款。”
3.【部门规章】《危险化学品生产企业安全生产许可证实施办法》（2011年8月原国家安全监管总局令第41号公布 2017年3月原国家安全监管总局令第89号修正）第四十四条：“
企业出租、出借或者以其他形式转让安全生产许可证的，没收违法所得，处10万元以上50万元以下的罚款，并吊销安全生产许可证；构成犯罪的，依法追究刑事责任。”</t>
  </si>
  <si>
    <t>直接实施责任：
1.执行省市级制定的行政处罚标准规范，也可结合本地实际，细化、量化
行政处罚裁量基准的具体标准。建立健全对行政处罚的监督制度。
2.依法依规实施本级行政处罚事项，做出的行政处罚决定应当予以公开。</t>
  </si>
  <si>
    <t>3200-B-00600-140602</t>
  </si>
  <si>
    <t>对非药品类易制毒化学品生产、经营、购买、运输或者进口、出口单位将许可证或者备案证明转借他人使用的处罚</t>
  </si>
  <si>
    <t>1.【行政法规】《易制毒化学品管理条例》（2018年修订，国家安全监管总局令第445号）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2.【部门规章】《非药品类易制毒化学品生产、经营许可办法》（原国家安全监管总局令第5号）第三十条：“对于有下列行为之一的，由县级以上人民政府安全生产监督管理部
门给予警告，责令限期改正，处1万元以上5万元以下的罚款；对违反规定生产、经营的非药品类易制毒化学品，可以予以没收；逾期不改正的，责令限期停产停业整顿；逾期整
顿不合格的，吊销相应的许可证：（二）将许可证或者备案证明转借他人使用的。”</t>
  </si>
  <si>
    <t>1.【行政法规】《易制毒化学品管理条例》（2018年修订，国家安全监管总局令第445号）第四十三条：“易制毒化学品行政主管部门工作人员在管理工作中有应当许可而不许可、不应当许可而滥许可，不依法受理备案，以及其他滥用职权、玩忽职守、徇私舞弊行为的，依法给予行政处分；构成犯罪的，依法追究刑事责任。”
2.【其他法律法规规章】《行政处罚法》《行政机关公务员处分条例》《山西省行政执法条例》等规定的追责情形。</t>
  </si>
  <si>
    <t>3200-B-00700-140602</t>
  </si>
  <si>
    <t>对超出许可的品种、数量，生产、经营非药品类易制毒化学品的处罚</t>
  </si>
  <si>
    <t>1.【行政法规】《易制毒化学品管理条例》（2018年修订，国家安全监管总局令第445号）第四十条：“违反本条例规定，有下列行为之一的，由负有监督管理职责的行政主管部门给予警告，责令限
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部门规章】《非药品类易制毒化学品生产、经营许可办法》（国家安全监管总局令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三）超出许可的品种、数量，生产、经营非药品类易制毒化学品的。”</t>
  </si>
  <si>
    <t>3200-B-00800-140602</t>
  </si>
  <si>
    <t>对危险化学品生产企业在安全生产许可证有效期内主要负责人、企业名称、注册地址、隶属关系发生变更或者新增产品、改变工艺技术对企业安全生产产 生 重 大 影响，未按照《危险化学品生产企业安全生产许可证实施办法》第三十条规定的时限提出安全生产许可证变更申请的处罚</t>
  </si>
  <si>
    <t>1.【部门规章】《危险化学品生产企业安全生产许可证实施办法》（2011年8月原国家安全监管总局令第41号公布 2017年3月原国家安全监管总局令第89号修正）第四十七条：“
企业在安全生产许可证有效期内主要负责人、企业名称、注册地址、隶属关系发生变更或者新增产品、改变工艺技术对企业安全生产产生重大影响，未按照本办法第三十条规定的
时限提出安全生产许可证变更申请的，责令限期申请，处1万元以上3万元以下的罚款。”</t>
  </si>
  <si>
    <t>3200-B-00900-140602</t>
  </si>
  <si>
    <t>对危险化学品生产企业在安全生产许可证有效期内，其危险化学品建设项目安全设施竣工验收合格后，未按照《危险化学品生产企业安全生产许可证实施办法》第三十二条规定的时限提出安全生产许可证变更申请并且擅自投入运行的处罚</t>
  </si>
  <si>
    <t>1.【部门规章】《危险化学品生产企业安全生产许可证实施办法》（2011年8月原国家安全监管总局令第41号公布 2017年3月原国家安全监管总局令第89号修正）第四十八条：“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t>
  </si>
  <si>
    <t>3200-B-01000-140602</t>
  </si>
  <si>
    <t>对未依法取得危险化学品经营许可证从事危险化学品经营的处罚</t>
  </si>
  <si>
    <t>1.【法律】《安全生产法》（2002年6月通过，2014年8月修正）第九十七条：“未经依法批准，擅自生产、经营、运输、储存、使用危险物品或者处置废弃危险物品的，依照有关危险物品安全管理的法律、行政法规的规定予以处罚；构成犯罪的，依照刑法有关规定追究刑事责任。”
2.【行政法规】《危险化学品安全管理条例》（国务院令第591号，2013年12月修改）第七十七条：“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3.【部门规章】《危险化学品经营许可证管理办法》第二十
九条：“未取得经营许可证从事危险化学品经营的，依照《安全生产法》有关未经依法批准擅自生产、经营、储存危险物品的法律责任条款并处罚款；构成犯罪的，依法追究刑事责任。企业在经营许可证有效期届满后，仍然从事危险化学品经营的，依照前款规定给予处罚。”</t>
  </si>
  <si>
    <t>1.【法律】《安全生产法》（2002年6月29日通过，2014年8月31日修正）第八十七条：“负有安全生产监督管理职责的部门的工作人员，有下列行为之一的，给予降级或者撤职的处分；构成犯罪的，依照刑法有关规定追究刑事责任：
（三）对已经依法取得批准的单位不履行监督管理职责，发现其不再具备安全生产条件而不撤销原批准或者发现安全生产违法行为不予查处的；
（四）在监督检查中发现重大事故隐患，不依法及时处理的。负有安全生产监督管理职责的部门的工作人员有前款规定以外的滥用职权、玩忽职守、徇私舞弊行为的，依法给予处分；构成犯罪的，依照刑法有关规定追究刑事责任。
2.【行政法规】《危险化学品安全管理条例》（国务院令第591号，2013年12月修改）第九十六条：“负有危险化学品安全监督管理职责的部门的工作人员，在危险化学品安全监督管理工作中滥用职权、玩忽职守、徇私舞弊，构成犯罪的，依法追究刑事责任；尚不构成犯罪的，依法给予处分。”
3.【其他法律法规规章】《行政处罚法》《行政机关公务员处分条例》《山西省行政执法条例》等规定的追责情形。</t>
  </si>
  <si>
    <t>3200-B-01100-140602</t>
  </si>
  <si>
    <t>对伪造、变造或者出租、出借、转让危险化学品经营许可证，或者使用伪造、变造的危险化学品经营许可证的处罚</t>
  </si>
  <si>
    <t>1.【部门规章】《危险化学品经营许可证管理办法》（原国家安全监管总局令第55号，2015年5月修改）第三十一条：“伪造、变造或者出租、出借、转让经营许可证，或者使用伪造、变造的经营许可证的，处10万元以上20万元以下的罚款，有违法所得的，没收违法所得；构成违反治安管理行为的，依法给予治安管理处罚；构成犯罪的，依法追究刑事责
任。”</t>
  </si>
  <si>
    <t>1.【部门规章】《危险化学品经营许可证管理办法》（原国家安全监管总局令第55号，2015年5月修改）第三十四条：“安全生产监督管理部门的工作人员徇私舞弊、滥用职权、弄虚作假、玩忽职守，未依法履行危险化学品经营许可证审批、颁发和监督管理职责的，依照有关规定给予处分。”
2.【其他法律法规规章】《行政处罚法》《行政机关公务员处分条例》《山西省行政执法条例》等规定的追责情形。</t>
  </si>
  <si>
    <t>3200-B-01200-140602</t>
  </si>
  <si>
    <t>对已经取得危险化学品经营许可证的企业出现《危险化学品经营许可证管理办法》第十四条、第十六条规定的情形之一，未依照《危险化学品经营许可证管理办法》的规定申请变更的处罚</t>
  </si>
  <si>
    <t>1.【部门规章】《危险化学品经营许可证管理办法》（原国家安全监管总局令第55号，2015年5月修改）第三十三条：“已经取得经营许可证的企业出现本办法第十四条、第十六条规定的情形之一，未依照本办法的规定申请变更的，责令限期改正，处1万元以下的罚款；逾期仍不申请变更的，处1万元以上3万元以下的罚款。”</t>
  </si>
  <si>
    <t>3200-B-01300-140602</t>
  </si>
  <si>
    <t>对化工企业未依法取得危险化学品安全使用许可证，擅自使用危险化学品从事生产的，且达到危险化学品使用量的数量标准规定的处罚</t>
  </si>
  <si>
    <t>1.【法律】《安全生产法》（2002年6月29日通过，2014年8月31日修正）第九十七条：“未经依法批准，擅自生产、经营、运输、储存、使用危险物品或者处置废弃危险物品的，
依照有关危险物品安全管理的法律、行政法规的规定予以处罚；构成犯罪的，依照刑法有关规定追究刑事责任。”
2.【行政法规】《危险化学品安全管理条例》（国务院令第591号，2013年12月修改）第七十七条：“违反本条例规定，化工企业未取得危险化学品安全使用许可证，使用危险化学品从事生产的，由安全生产监督管理部门责令限期改正，处10万元以上20万元以下的罚款；逾期不改正的，责令
停产整顿。”
3.【部门规章】《危险化学品安全使用许可证实施办法》（原国家安全监管总局令第57号，2017年3月修改）第三十七条：“企业未取得安全使用许可证，擅自使用危险化学品从事生产，且达到危险化学品使用量的数量标准规定的，责令立即停止违法行为并限期改正，处10万元以上20万元以下的罚款；逾期不改正的，责令停产整顿。”</t>
  </si>
  <si>
    <t>1.【法律】《安全生产法》（2002年6月29日通过，2014年8月31日修正）第八十七条：“负有安全生产监督管理职责的部门的工作人员，有下列行为之一的，给予降级或者撤职的处分；构成犯罪的，依照刑法有关规定追究刑事责任：（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行政法规】《危险化学品安全管理条例》（国务院令第591号，2013年12月修改）第九十六条：“负有危险化学品安全监督管理职责的部门的工作人员，在危险化学品安全监督管理工作中滥用职权、玩忽职守、徇私舞弊，构成犯罪的，依法追究刑事责任；尚不构成犯罪的，依法给予处分。”
3.【其他法律法规规章】《行政处罚法》《行政机关公务员处分条例》《山西省行政执法条例》等规定的追责情形。</t>
  </si>
  <si>
    <t>3200-B-01400-140602</t>
  </si>
  <si>
    <t>对危险化学品使用企业伪造、变造或者出租、出借、转让安全使用许可证，或者使用伪造、变造的安全使用许可证的处罚</t>
  </si>
  <si>
    <t>1.【部门规章】《危险化学品安全使用许可证实施办法》（原国家安全监管总局令第57号，2017年3月修改）第三十八条：“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</si>
  <si>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1.【部门规章】《危险化学品安全使用许可证实施办法》（原国家安全监管总局令第57号，2017年3月修改）第三十六条：“发证机关工作人员在对危险化学品使用许可证的颁发管理工作中滥用职权、玩忽职守、徇私舞弊，构成犯罪的，依法追究刑事责任；尚不构成犯罪的，依法给予处分。”
2.【其他法律法规规章】《行政处罚法》《行政机关公务员处分条例》《山西省行政执法条例》等规定的追责情形。</t>
  </si>
  <si>
    <t>3200-B-01500-140602</t>
  </si>
  <si>
    <t>对危险化学品使用企业在安全使用许可证有效期届满后未办理延期手续，仍然使用危险化学品从事生产，且达到危险化学品使用量的数量标准规定的处罚</t>
  </si>
  <si>
    <t>1.【部门规章】《危险化学品安全使用许可证实施办法》
（原国家安全监管总局令第57号，2017年3月修改）第三十
七条：“企业未取得安全使用许可证，擅自使用危险化学品
从事生产，且达到危险化学品使用量的数量标准规定的，责
令立即停止违法行为并限期改正，处10万元以上20万元以下
的罚款；逾期不改正的，责令停产整顿。企业在安全使用许
可证有效期届满后未办理延期手续，仍然使用危险化学品从
事生产，且达到危险化学品使用量的数量标准规定的，依照
前款规定给予处罚。”</t>
  </si>
  <si>
    <t>3200-B-01600-140602</t>
  </si>
  <si>
    <t>对危险化学品使用企业在安全使用许可证有效期内主要负责人、企业名称、注册地址、隶属关系发生变更，未按照《危险化学品安全使用许可证实施办法》第二十四条规定的时限提出安全使用许可证变更申请或者将隶属关系变更证明材料报发证机关的处罚</t>
  </si>
  <si>
    <t>1.【部门规章】《危险化学品安全使用许可证实施办法》（原国家安全监管总局令第57号，2017年3月修改）第三十九条：“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</si>
  <si>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3200-B-01700-140602</t>
  </si>
  <si>
    <t>对危险化学品使用企业增加使用的危险化学品品种，且达到危险化学品使用量的数量标准规定，未按照《危险化学品安全使用许可证实施办法》第二十五条的规定提出变更申请，继续从事生产的处罚</t>
  </si>
  <si>
    <t>1.【部门规章】《危险化学品安全使用许可证实施办法》（原国家安全监管总局令第57号，2017年3月修改）第四十条：“企业在安全使用许可证有效期内有下列情形之一，未按照本办法第二十五条的规定提出变更申请，继续从事生产的，责令限期改正，处1万元以上3万元以下的罚款：（一）增加使用的危险化学品品种，且达到危险化学品使用量的数
量标准规定的；”</t>
  </si>
  <si>
    <t>3200-B-01800-140602</t>
  </si>
  <si>
    <t>对涉及危险化学品安全使用许可范围的新建、改建、扩建建设项目，其安全设施已经竣工验收合格，未按照《危险化学品安全使用许可证实施办法》第二十五条的规定提出变更申请，继续从事生产的处罚</t>
  </si>
  <si>
    <t>1.【部门规章】《危险化学品安全使用许可证实施办法》（原国家安全监管总局令第57号，2017年3月修改）第四十条：“企业在安全使用许可证有效期内有下列情形之一，未按照本办法第二十五条的规定提出变更申，继续从事生产的，责令限期改正，处1万元以上3万元以下的罚款：（二）
涉及危险化学品安全使用许可范围的新建、改建、扩建建设项目，其安全设施已经竣工验收合格的；”</t>
  </si>
  <si>
    <t>3200-B-01900-140602</t>
  </si>
  <si>
    <t>对非煤矿矿山企业在安全生产许可证有效期内，未按规定申请、办理变更单位名称、主要负责人、单位地址、经济类型、许可范围的处罚</t>
  </si>
  <si>
    <t>1.【部门规章】《非煤矿矿山企业安全生产许可证实施办法》（原国家安全监管总局令第20号，2015年5月修改） 第四十四条：“非煤矿矿山企业在安全生产许可证有效期内，出
现需要变更安全生产许可证的情形，未按本实施办法第二十一条的规定申请、办理变更手续的，责令限期办理变更手续，并处1万元以上3万元以下罚款。”</t>
  </si>
  <si>
    <t>3200-B-02000-140602</t>
  </si>
  <si>
    <t>对非煤矿矿山企业在安全生产许可证有效期内出现采矿许可证有效期届满和采矿许可证被暂扣、撤销、吊销、注销的情况，未依照规定向安全生产许可证颁发管理机关报告并交回安全生产许可
证的处罚</t>
  </si>
  <si>
    <t>1.【部门规章】《非煤矿矿山企业安全生产许可证实施办法》（原国家安全监管总局令第20号，2015年5月修改） 第四十三条：“非煤矿矿山企业在安全生产许可证有效期内出现
采矿许可证有效期届满和采矿许可证被暂扣、撤销、吊销、注销的情况，未依照本实施办法第二十八条的规定向安全生产许可证颁发管理机关报告并交回安全生产许可证的，处1万元以上3万元以下罚款。”</t>
  </si>
  <si>
    <t>3200-B-02100-140602</t>
  </si>
  <si>
    <t>对未经许可经营烟花爆竹制品或者未经许可经营、超许可范围经营、许可证过期继续经验烟花爆竹的处罚</t>
  </si>
  <si>
    <t>1.【法律】《安全生产法》（2002年6月29日通过，2014年8月31日修正）第九十七条：“未经依法批准，擅自生产、经营、运输、储存、使用危险物品或者处置废弃危险物品的，
依照有关危险物品安全管理的法律、行政法规的规定予以处罚；构成犯罪的，依照刑法有关规定追究刑事责任。”
2.【行政法规】《烟花爆竹安全管理条例》（国务院令第455号）第三十六条：“对未经许可生产、经营烟花爆竹制品的，由安全生产监督管理部门责令停止非法生产、经营活动，处2万元以上10万元以下的罚款，并没收非法生产、经营的物品及违法所得。”
3.【部门规章】《烟花爆竹经营许可实施办法》（原国家安全监管总局令第65号）第三十一条：“对未经许可经营、超许可范围经营、许可证过期继续经营烟花爆竹的，责令其停止非法经营活动，处2万元以上10万元以下的罚款，并没收非法经营的物品及违法所得。”</t>
  </si>
  <si>
    <t>1.【法律】《安全生产法》（2002年6月29日通过，2014年8月31日修正）第八十七条：“负有安全生产监督管理职责的部门的工作人员，有下列行为之一的，给予降级或者撤职的处分；构成犯罪的，依照刑法有关规定追究刑事责任：（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2.【行政法规】《烟花爆竹安全管理条例》（国务院令第455号）第四十四条：“安全生产监督管理部门、公安部门、质量监督检验部门、工商行政管理部门的工作人员，在烟花爆竹安全监管工作中滥用职权、玩忽职守、徇私舞弊，构成犯罪的，依法追究刑事责任；尚不构成犯罪的，依法给予行政处分。”3.【其他法律法规规章】《行政处罚法》《行政机关公务员处分条例》《山西省行政执法条例》等规定的追责情形。</t>
  </si>
  <si>
    <t>3200-B-02200-140602</t>
  </si>
  <si>
    <t>对烟花爆竹经营单位冒用或者使用伪造的烟花爆竹经营许可证的处罚</t>
  </si>
  <si>
    <t>1.【部门规章】《烟花爆竹经营许可实施办法》（原国家安
全监管总局令第65号）第三十六条：“冒用或者使用伪造的
烟花爆竹经营许可证的，依照本办法第三十一条的规定处罚
。”
第三十一条：“对未经许可经营、超许可范围经营、许可证
过期继续经营烟花爆竹的，责令其停止非法经营活动，处2
万元以上10万元以下的罚款，并没收非法经营的物品及违法
所得。”</t>
  </si>
  <si>
    <t>1.【部门规章】《烟花爆竹经营许可实施办法》（原国家安全监管总局令第65号）第三十八条：“安全生产监督管理部门工作人员在实施烟花爆竹经营许可和监督管理工作中，滥用职权、玩忽职守、徇私舞弊，未依法履行烟花爆竹经营许可证审查、颁发和监督管理职责的，依照有关规定给予处分；构成犯罪的，依法追究刑事责任。”
2.【其他法律法规规章】《行政处罚法》《行政机关公务员处分条例》《山西省行政执法条例》等规定的追责情形。</t>
  </si>
  <si>
    <t>3200-B-02300-140602</t>
  </si>
  <si>
    <t>对烟花爆竹经营单位出租、出借、转让、买卖烟花爆竹经营许可证的处罚</t>
  </si>
  <si>
    <t>1.【部门规章】《烟花爆竹经营许可实施办法》（原国家安全监管总局令第65号）第三十六条：“烟花爆竹经营单位出租、出借、转让、买卖烟花爆竹经营许可证的，责令其停止违法行为，处1万元以上3万元以下的罚款，并依法撤销烟花爆竹经营许可证。”</t>
  </si>
  <si>
    <t>3200-B-02400-140602</t>
  </si>
  <si>
    <t>对烟花爆竹批发企业变更企业名称、主要负责人、注册地址，未申请办理许可证变更手续的处罚</t>
  </si>
  <si>
    <t>1.【部门规章】《烟花爆竹经营许可实施办法》（原国家安全监管总局令第65号）第三十二条：“批发企业有下列行为之一的，责令其限期改正，处5000元以上3万元以下的罚款：（九）变更企业名称、主要负责人、注册地址，未申请办理许可证变更手续的；”</t>
  </si>
  <si>
    <t>3200-B-02500-140602</t>
  </si>
  <si>
    <t>对烟花爆竹批发企业仓储设施新建、改建、扩建后，未重新申请办理许可手续的处罚</t>
  </si>
  <si>
    <t>1.【部门规章】《烟花爆竹经营许可实施办法》（原国家安全监管总局令第65号）第三十二条：“批发企业有下列行为之一的，责令其限期改正，处5000元以上3万元以下的罚款：（八）仓储设施新建、改建、扩建后，未重新申请办理
许可手续的；”</t>
  </si>
  <si>
    <t>3200-B-02600-140602</t>
  </si>
  <si>
    <t>对烟花爆竹零售经营者变更零售点名称、主要负责人或者经营场所，未重新办理零售许可证的处罚</t>
  </si>
  <si>
    <t>1.【部门规章】《烟花爆竹经营许可实施办法》（原国家安全监管总局令第65号）第三十五条）：“零售经营者有下列行为之一的，责令其限期改正，处1000元以上5000元以下的
罚款；情节严重的，处5000元以上30000元以下的罚款：（一）变更零售点名称、主要负责人或者经营场所，未重新办理零售许可证的；”</t>
  </si>
  <si>
    <t>3200-B-02700-140602</t>
  </si>
  <si>
    <t>对未按照规定设置安全生产管理机构或者配备安全生产管理人员的处罚</t>
  </si>
  <si>
    <t xml:space="preserve">1.【法律】《安全生产法》（2002年6月通过，2014年8月修正）第九十四条：“生产经营单位有下列行为之一的，责令限期改正，可以处五万元以下的罚款；逾期未改正的，责令
停产停业整顿，并处五万元以上十万元以下的罚款，对其直接负责的主管人员和其他直接责任人员处一万元以上二万元以下的罚款：(一)未按照规定设置安全生产管理机构或者配
备安全生产管理人员的；”
</t>
  </si>
  <si>
    <t>1.【法律】《安全生产法》（2002年6月29日通过，2014年8月31日修正）第八十七条：“负有安全生产监督管理职责的部门的工作人员，有下列行为之一的，给予降级或者撤职的处分；构成犯罪的，依照刑法有关规定追究刑事责任：（三）对已经依法取得批准的单位不履行监督管理职责，发现其不再具备安全生产条件而不撤销原批准或者发现安全生产违法行为不予查处的；
（四）在监督检查中发现重大事故隐患，不依法及时处理的。负有安全生产监督管理职责的部门的工作人员有前款规定以外的滥用职权、玩忽职守、徇私舞弊行为的，依法给予处分；构成犯罪的，依照刑法有关规定追究刑事责任。”
2.【其他法律法规规章】《行政处罚法》《行政机关公务员处分条例》《山西省行政执法条例》等规定的追责情形。</t>
  </si>
  <si>
    <t>3200-B-02800-140602</t>
  </si>
  <si>
    <t>对生产经营单位主要负责人、安全生产管理人员以欺骗、贿赂等不正当手段取得安全合格证的处罚</t>
  </si>
  <si>
    <t>1.【部门规章】《安全生产培训管理办法》（原国家安全监管总局令第44号，2015年5月修改）第三十五条：“生产经营单位主要负责人、安全生产管理人员、特种作业人员以欺骗、贿赂等不正当手段取得安全合格证或者特种作业操作证的，除撤销其相关证书外，处3千元以下的罚款，并自撤销其相关证书之日起3年内不得再次申请该证书。”</t>
  </si>
  <si>
    <t>1.【部门规章】《安全生产培训管理办法》（原国家安全监管总局令第44号，2015年5月修改）第三十三条：“安全生产监督管理部门、煤矿安全监察机构、煤矿安全培训监管机构的工作人员在安全培训监督管理工作中滥用职权、玩忽职守、徇私舞弊的，依照有关规定给予处分；构成犯罪的，依法追究刑事责任。”
2.【其他法律法规规章】《行政处罚法》《行政机关公务员处分条例》《山西省行政执法条例》等规定的追责情形。</t>
  </si>
  <si>
    <t>3200-B-02900-140602</t>
  </si>
  <si>
    <t>对危险物品的生产、经营、储存单位以及矿山、金属冶炼单位的主要
负责人和安全生产管理人员未按照规定经考核合格的处罚</t>
  </si>
  <si>
    <t>1.【法律】《安全生产法》（2002年6月通过，2014年8月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二)危险物品的生产、经营、储存单位以及矿山、金属冶炼、建筑施工、道路运输单位的主要负责人和安全生产管理人员未按照规定经考核合格的；”
2.【部门规章】《生产经营单位安全培训规定》（原国家安全监管总局令第3号，2015年5月修改）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t>
  </si>
  <si>
    <t>1.【法律】《安全生产法》（2002年6月29日通过，2014年8月31日修正）第八十七条：“负有安全生产监督管理职责的部门的工作人员，有下列行为之一的，给予降级或者撤职的处分；构成犯罪的，依照刑法有关规定追究刑事责任：（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2.【其他法律法规规章】《行政处罚法》《行政机关公务员处分条例》《山西省行政执法条例》等规定的追责情形。</t>
  </si>
  <si>
    <t>3200-B-03000-140602</t>
  </si>
  <si>
    <t>对小型露天采石场未按要求配备专业技术人员，或者聘用专业技术人员、注册安全工程师、委托相关技术服务机构为其提供安全生产管理服务的处罚</t>
  </si>
  <si>
    <t>1.【部门规章】《小型露天采石场安全管理与监督检查规定》（原国家安全监管总局令第39号，2015年5月修改）第三十六条：“违反本规定第六条规定的，责令限期改正，并处1万元以下的罚款。”</t>
  </si>
  <si>
    <t>1.【部门规章】《小型露天采石场安全管理与监督检查规定》（原国家安全监管总局令第39号，2015年5月修改）第三十五条：“安全生产监督管理部门及其工作人员违反法律法规和本规定，未依法履行对小型露天采石场安全生产监督检查职责的，依法给予行政处分。”
2.【其他法律法规规章】《行政处罚法》《行政机关公务员处分条例》《山西省行政执法条例》等规定的追责情形。</t>
  </si>
  <si>
    <t>3200-B-03100-140602</t>
  </si>
  <si>
    <t>对未按照规定对矿山、金属冶炼建设项目或者用于生产、储存、装卸危险物品的建设项目进行安全评价的处罚</t>
  </si>
  <si>
    <t>1.【法律】《安全生产法》（2002年6月通过，2014年8月修正）第九十五条：“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一)未按照规定对矿山、金属冶炼建设项目或者用于生产、储存、装卸危险物品的建设项目进行安全评价的；”</t>
  </si>
  <si>
    <t>3200-B-03200-140602</t>
  </si>
  <si>
    <t>对矿山、金属冶炼建设项目或者用于生产、储存、装卸危险物品的建设项目没有安全设施设计或者安全设施设计未按照规定报经有关部门审查同意的处罚</t>
  </si>
  <si>
    <t>1.【法律】《安全生产法》（2002年6月29日通过，2014年8月31日修正）第九十五条：“生产经营单位有下列行为之一的，责令停止建设或者停产停业整顿，限期改正；逾期未改
正的，处五十万元以上一百万元以下的罚款，对其直接负责的主管人员和其他直接责任人员处二万元以上五万元以下的罚款；构成犯罪的，依照刑法有关规定追究刑事责任：
……(二)矿山、金属冶炼建设项目或者用于生产、储存、装卸危险物品的建设项目没有安全设施设计或者安全设施设计未按照规定报经有关部门审查同意的；”</t>
  </si>
  <si>
    <t>3200-B-03300-140602</t>
  </si>
  <si>
    <t>对矿山、金属冶炼建设项目或者用于生产、储存、装卸危险物品的建设项目的施工单位未按照批准的安全设施设计施工的处罚</t>
  </si>
  <si>
    <t>1.【法律】《安全生产法》（2002年6月29日通过，2014年8月31日修正）第九十五条：“生产经营单位有下列行为之一的，责令停止建设或者停产停业整顿，限期改正；逾期未改
正的，处五十万元以上一百万元以下的罚款，对其直接负责的主管人员和其他直接责任人员处二万元以上五万元以下的罚款；构成犯罪的，依照刑法有关规定追究刑事责任：
（三）矿山、金属冶炼建设项目或者用于生产、储存、装卸危险物品的建设项目的施工单位未按照批准的安全设施设计施工的；”</t>
  </si>
  <si>
    <t>3200-B-03400-140602</t>
  </si>
  <si>
    <t>对矿山、金属冶炼建设项目或者用于生产、储存危险物品的建设项目竣工投入生产或者使用前，安全设施未经验收合格的处罚</t>
  </si>
  <si>
    <t>1.【法律】《安全生产法》（2002年6月29日通过，2014年8月31日修正）第九十五条第（四）项：“生产经营单位有下列行为之一的，责令停止建设或者停产停业整顿，限期改
正；逾期未改正的，处五十万元以上一百万元以下的罚款，对其直接负责的主管人员和其他直接责任人员处二万元以上五万元以下的罚款；构成犯罪的，依照刑法有关规定追究刑事责任：(四)矿山、金属冶炼建设项目或者用于生产、储存危险物品的建设项目竣工投入生产或者使用前，安全设施未经验收合格的。”</t>
  </si>
  <si>
    <t>1.【法律】《安全生产法》（2002年6月29日通过，2014年8月31日修正）第八十七条：“负有安全生产监督管理职责的部门的工作人员，有下列行为之一的，给予降级或者撤职的处分；构成犯罪的，依照刑法有关规定追究刑事责任：
（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2.【其他法律法规规章】《行政处罚法》《行政机关公务员处分条例》《山西省行政执法条例》等规定的追责情形。</t>
  </si>
  <si>
    <t>3200-B-03500-140602</t>
  </si>
  <si>
    <t>对已经批准的建设项目安全设施设计发生重大变更，生产经营单位未报原批准部门审查同意擅自开工建设的处罚</t>
  </si>
  <si>
    <t>1.【部门规章】《建设项目安全设施“三同时”监督管理办法》（原国家安全监管总局令第36号，2015年4月修改）第二十九条：“已经批准的建设项目安全设施设计发生重大变更，生产经营单位未报原批准部门审查同意擅自开工建设的，责令限期改正，可以并处1万元以上3万元以下的罚款。
”</t>
  </si>
  <si>
    <t>3200-B-03600-140602</t>
  </si>
  <si>
    <t>对《建设项目安全设施“三同时”监督管理办法》第七条第（一）项、第（二）项、第（三）项和第（四）项规定以外的建设项目没有安全设施设计的处罚</t>
  </si>
  <si>
    <t>1.【部门规章】《建设项目安全设施“三同时”监督管理办法》（原国家安全监管总局令第36号，2015年4月修改）第三十条：“本办法第七条第一项、第二项、第三项和第四项规定以外的建设项目有下列情形之一的，对生产经营单位责令限期改正，可以并处5000元以上3万元以下的罚款：
（一）没有安全设施设计的；”</t>
  </si>
  <si>
    <t>2.【法律法规规章】《行政处罚法》《行政机关公务员处分条例》等规定的追责情形。</t>
  </si>
  <si>
    <t>3200-B-03700-140602</t>
  </si>
  <si>
    <t>对《建设项目
安全设施“三同时”监督管理办法》第七条第（一）项、第（二）项
、第（三）项和第（四）项规定以外的建设项目安全设施设计未组织
审查，并形成书面审查报告的处罚</t>
  </si>
  <si>
    <t>1.【部门规章】《建设项目安全设施“三同时”监督管理办法》（原国家安全监管总局令第36号，2015年4月修改）第三十条：“本办法第七条第一项、第二项、第三项、第四项规定以外的建设项目有下列情形之一的，对生产经营单位责令限期改正，可以并处5000元以上3万元以下的罚款：
（二）安全设施设计未组织审查，并形成书面审查报告的；
”</t>
  </si>
  <si>
    <t>3.【法律法规规章】《行政处罚法》《行政机关公务员处分条例》等规定的追责情形。</t>
  </si>
  <si>
    <t>3200-B-03800-140602</t>
  </si>
  <si>
    <t>对《建设项目安全设施“三同时”监督管理办法》第七条第（一）项、第（二）项、第（三）项和第（四）项规定以外的建设项目投入生产 或 者 使 用前，安全设施未经竣工验收合格，并形成书面报告的处罚</t>
  </si>
  <si>
    <t>1.【部门规章】《建设项目安全设施“三同时”监督管理办法》（原国家安全监管总局令第36号，2015年4月修改）第三十条：“本办法第七条第一项、第二项、第三项和第四项规定以外的建设项目有下列情形之一的，对生产经营单位责令限期改正，可以并处5000元以上3万元以下的罚款：
（四）投入生产或者使用前，安全设施未经竣工验收合格，
并形成书面报告的。”</t>
  </si>
  <si>
    <t>4.【法律法规规章】《行政处罚法》《行政机关公务员处分条例》等规定的追责情形。</t>
  </si>
  <si>
    <t>3200-B-03900-140602</t>
  </si>
  <si>
    <t>对新建、改建、扩建生产、储存危险化学品的建设项目未经安全条件审查的处罚</t>
  </si>
  <si>
    <t>1.【行政法规】《危险化学品安全管理条例》（国务院令第591号，2013年12月修改）第七十六条：“未经安全条件审查，新建、改建、扩建生产、储存危险化学品的建设项目的，由安全生产监督管理部门责令停止建设，限期改正；逾期不改正的，处50万元以上100万元以下的罚款；构成犯罪的，依法追究刑事责任。”
2.【部门规章】《危险化学品输送管道安全管理规定》（原国家安全监管总局令第43号，2015年5月修改）第三十三条：“新建、改建、扩建危险化学品管道建设项目未经安全条件审查的，由安全生产监督管理部门责令停止建设，限期改正；逾期不改正的，处50万元以上100万元以下的罚款；构成犯罪的，依法追究刑事责任。”</t>
  </si>
  <si>
    <t>1.【行政法规】《危险化学品安全管理条例》（国务院令第591号，2013年12月修改）第九十六条：“负有危险化学品安全监督管理职责的部门的工作人员，在危险化学品安全监督管理工作中滥用职、玩忽职守、徇私舞弊，构成犯罪的，依法追究刑事责任；尚不构成犯罪的，依法给予处分。”
2.【其他法律法规规章】《行政处罚法》《行政机关公务员处分条例》《山西省行政执法条例》等规定的追责情形。</t>
  </si>
  <si>
    <t>3200-B-04000-140602</t>
  </si>
  <si>
    <t>对生产、储存、使用危险化学品的单位未依照《危险化学品安全管理条例》规定对其安全生产条件定期进行安全评价的处罚</t>
  </si>
  <si>
    <t>1【行政法规】《危险化学品安全管理条例》（国务院令第
591号，2013年12月修改）第八十条：“生产、储存、使用
危险化学品的单位有下列情形之一的，由安全生产监督管理
部门责令改正，处5万元以上10万元以下的罚款；拒不改正
的，责令停产停业整顿直至由原发证机关吊销其相关许可证
件，并由工商行政管理部门责令其办理经营范围变更登记或
者吊销其营业执照；有关责任人员构成犯罪的，依法追究刑
事责任：（三）未依照本条例规定对其安全生产条件定期进
行安全评价的；”
2.【部门规章】《危险化学品经营许可证管理办法》（原国
家安全监管总局令第55号，2015年5月修改）第三十条：
““带有储存设施的企业违反《危险化学品安全管理条例》
规定，有下列情形之一的，责令改正，处5万元以上10万元
以下的罚款；拒不改正的，责令停产停业整顿；经停产停业
整顿仍不具备法律、法规、规章、国家标准和行业标准规定
的安全生产条件的，吊销其经营许可证：（四）未对其安全
生产条件定期进行安全评价的；”</t>
  </si>
  <si>
    <t>1.【行政法规】《危险化学品安全管理条例》（国务院令第591号，2013年12月修改）第九十六条：“负有危险化学品安全监督管理职责的部门的工作人员，在危险化学品安全监督管理工作中滥用职权、玩忽职守、徇私舞弊，构成犯罪的，依法追究刑事责任；尚不构成犯罪的，依法给予处分。”
2.【其他法律法规规章】《行政处罚法》《行政机关公务员处分条例》《山西省行政执法条例》等规定的追责情形。</t>
  </si>
  <si>
    <t>3200-B-04100-140602</t>
  </si>
  <si>
    <t>对危险化学品建设项目在申请建设项目安全审查时提供虚假文件、资料的处罚</t>
  </si>
  <si>
    <t>1.【部门规章】《危险化学品建设项目安全监督管理办法》（原国家安全监管总局令第45号，2015年5月修改）第三十七条：“建设单位有下列行为之一的，责令改正，可以处一万元以下的罚款；逾期未改正的，处一万元以上三万元以下的罚款：（二）在申请建设项目安全审查时提供虚假文件、资料的；”</t>
  </si>
  <si>
    <t>1.【部门规章】《危险化学品建
设项目安全监督管理办法》（原
国家安全监管总局令第45号，
2015年5月修改）第三十四条：“
安全生产监督管理部门工作人员
徇私舞弊、滥用职权、玩忽职
守，未依法履行危险化学品建设
项目安全审查和监督管理职责
的，依法给予处分。”
2.【其他法律法规规章】《监察
法》《行政处罚法》《国家赔偿
法》《行政机关公
务员处分条例》《政府信息公开
条例》《山西省行政执法条
例》等规定的追责情形。</t>
  </si>
  <si>
    <t>3200-B-04200-140602</t>
  </si>
  <si>
    <t>对危险化学品建设项目未组织有关单位和专家研究提出试 生 产 （ 使用）可能出现的安全问题及对策，或者未制定周密的试生产（使用）方案，进行试生产（使用）的处罚</t>
  </si>
  <si>
    <t>1.【部门规章】《危险化学品建设项目安全监督管理办法》（原国家安全监管总局令第45号，2015年5月修改）第三十七条：“建设单位有下列行为之一的，责令改正，可以处一万元以下的罚款；逾期未改正的，处一万元以上三万元以下的罚款：（三）未组织有关单位和专家研究提出试生产（使用）可能出现的安全问题及对策，或者未制定周密的试生产（使用）方案，进行试生产（使用）的；”</t>
  </si>
  <si>
    <t>1.【部门规章】《危险化学品建设项目安全监督管理办法》（原国家安全监管总局令第45号，2015年5月修改）第三十四条：“安全生产监督管理部门工作人员徇私舞弊、滥用职权、玩忽职守，未依法履行危险化学品建设项目安全审查和监督管理职责的，依法给予处分。”
2.【其他法律法规规章】《行政处罚法》《行政机关公务员处分条例》《山西省行政执法条例》等规定的追责情形。</t>
  </si>
  <si>
    <t>3200-B-04300-140602</t>
  </si>
  <si>
    <t>对危险化学品建设项目未组织有关专家对试 生 产 （ 使用）方案进行审查、对试生产（使用）条件进行检查确认的处罚</t>
  </si>
  <si>
    <t>1.【部门规章】《危险化学品建设项目安全监督管理办法》
（原国家安全监管总局令第45号，2015年5月修改）第三十
七条：“建设单位有下列行为之一的，责令改正，可以处一
万元以下的罚款；逾期未改正的，处一万元以上三万元以下
的罚款：（四）未组织有关专家对试生产（使用）方案进行
审查、对试生产（使用）条件进行检查确认的；”</t>
  </si>
  <si>
    <t>3200-B-04400-140602</t>
  </si>
  <si>
    <t>对生产运行的尾矿库未经技术论证和批准变更有关事项的处罚</t>
  </si>
  <si>
    <t>1.【部门规章】《尾矿库安全监督管理规定》（原国家安全监管总局令第38号，2015年5月修改）第十八条：“对生产运行的尾矿库，未经技术论证和安全生产监督管理部门的批准，任何单位和个人不得对下列事项进行变更：(一)筑坝方式；(二)排放方式；(三)尾矿物化特性；(四)坝型、坝外坡坡比、最终堆积标高和最终坝轴线的位置；(五)坝体防渗、排渗及反滤层的设置；(六)排洪系统的型式、布置及尺寸；(七)设计以外的尾矿、废料或者废水进库等。”第四十条：“生产经营单位或者尾矿库管理单位违反本规定第十八条规定的，给予警告，并处3万元的罚款；情节严重的，依法责令停产整顿或者提请县级以上地方人民政府按照规定权限予
以关闭。”</t>
  </si>
  <si>
    <t>1.【部门规章】《尾矿库安全监督管理规定》（原国家安全监管总局令第38号，2015年5月修改）第三十八条：“安全生产监督管理部门的工作人员，未依法履行尾矿库安全监督管理职责的，依照有关规定给予行政处分。”
2.【其他法律法规规章】《行政处罚法》《行政机关公务员处分条例》《山西省行政执法条例》等规定的追责情形。</t>
  </si>
  <si>
    <t>3200-B-04500-140602</t>
  </si>
  <si>
    <t>对生产经营单位主要负责人未履行《安全生产法》规定的安全生产管理职责的处罚</t>
  </si>
  <si>
    <t>1.【法律】《安全生产法》（2002年6月29日通过，2014年8月31日修正）第九十一条：“生产经营单位的主要负责人未履行本法规定的安全生产管理职责的，责令限期改正；逾期
未改正的，处二万元以上五万元以下的罚款，责令生产经营
单位停产停业整顿。”</t>
  </si>
  <si>
    <t>3200-B-04600-140602</t>
  </si>
  <si>
    <t>对生产、经营、运输、储存、使用危险物品或者处置废弃危险物品，未建立专门安全管理制度、未采取可靠的安全措施的处罚</t>
  </si>
  <si>
    <t>1.【法律】《安全生产法》（2002年6月29日通过，2014年8月31日修正）第九十八条：“生产经营单位有下列行为之一的，责令限期改正，可以处十万元以下的罚款；逾期未改正
的，责令停产停业整顿，并处十万元以上二十万元以下的罚款，对其直接负责的主管人员和其他直接责任人员处二万元以上五万元以下的罚款；构成犯罪的，依照刑法有关规定追
究刑事责任：(一)生产、经营、运输、储存、使用危险物品或者处置废弃危险物品，未建立专门安全管理制度、未采取可靠的安全措施的；”</t>
  </si>
  <si>
    <t>3200-B-04700-140602</t>
  </si>
  <si>
    <t>对储存危险化学品的单位未建立危险化学品出入库核查、登记制度的处罚</t>
  </si>
  <si>
    <t>1.【行政法规】《危险化学品安全管理条例》（国务院令第591号，2013年12月修改）第七十八条：“有下列情形之一的，由安全生产监督管理部门责令改正，可以处5万元以下的罚款；拒不改正的，处5万元以上10万元以下的罚款；情节严重的，责令停产停业整顿：（十）储存危险化学品的单位未建立危险化学品出入库核查、登记制度的；”</t>
  </si>
  <si>
    <t>3200-B-04800-140602</t>
  </si>
  <si>
    <t>对非药品类易制毒化学品生产、经营单位未按规定建立管理制度和安全管理制度的处罚</t>
  </si>
  <si>
    <t>1.【行政法规】《易制毒化学品管理条例》（国务院令第445号） 第四十条：“违反本条例规定，有下列行为之一的，由负有监督管理职责的行政主管部门给予警告，责令限期改正，处1万元以上5万元以下的罚款；对违反规定生产、经营、购买的易制毒化学品可以予以没收；逾期不改正的，
责令限期停产停业整顿；逾期整顿不合格的，吊销相应的许
可证：（一）易制毒化学品生产、经营、购买、运输或者进口、出口单位未按规定建立安全管理制度的；”
2.【部门规章】《非药品类易制毒化学品生产、经营许可办法》（原国家安全监管总局令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
顿不合格的，吊销相应的许可证：（一）易制毒化学品生产、经营单位未按规定建立易制毒化学品的管理制度和安全管理制度的；”</t>
  </si>
  <si>
    <t>3200-B-04900-140602</t>
  </si>
  <si>
    <t>对矿山企业未按照规定建立健全领导带班下井制度或者未制定领导带班下井月度计划的处罚</t>
  </si>
  <si>
    <t>1.【部门规章】《金属非金属地下矿山企业领导带班下井及
监督检查暂行规定》（原国家安全监管总局令第34号，2015
年5月修改）第十八条：“矿山企业未按照规定建立健全领
导带班下井制度或者未制定领导带班下井月度计划的，给予
警告，并处3万元的罚款；对其主要负责人给予警告，并处1
万元的罚款；情节严重的，依法暂扣其安全生产许可证，责
令停产整顿。”</t>
  </si>
  <si>
    <t>3200-B-05000-140602</t>
  </si>
  <si>
    <t>对矿山企业未制定领导带班下井制度的处罚</t>
  </si>
  <si>
    <t>1.【部门规章】《金属非金属地下矿山企业领导带班下井及监督检查暂行规定》（原国家安全监管总局令第34号，2015年5月修改）第十九条：“矿山企业存在下列行为之一的，
责令限期整改，并处3万元的罚款；对其主要负责人给予警告，并处1万元的罚款：（一）未制定领导带班下井制度的；”</t>
  </si>
  <si>
    <t>3200-B-05100-140602</t>
  </si>
  <si>
    <t>对未如实记录安全生产教育和培训情况的处罚</t>
  </si>
  <si>
    <t>1.【法律】《安全生产法》（2002年6月29日通过，2014年8月31日修正）第九十四条：“生产经营单位有下列行为之一的，责令限期改正，可以处五万元以下的罚款；逾期未改正
的，责令停产停业整顿，并处五万元以上十万元以下的罚款，对其直接负责的主管人员和其他直接责任人员处一万元以上二万元以下的罚款：(四)未如实记录安全生产教育和培训情况的；”
2【部门规章】《生产经营单位安全培训规定》（原国家安全监管总局令第3号，2015年5月修改）第三十条：“生产经营单位有下列行为之一的，由安全生产监管监察部门责令其
限期改正，可以处5万元以下的罚款；逾期未改正的，责令停产停业整顿，并处5万元以上10万元以下的罚款，对其直接负责的主管人员和其他直接责任人员处1万元以上2万元以
下的罚款：（三）未如实记录安全生产教育和培训情况的；
”</t>
  </si>
  <si>
    <t>3200-B-05200-140602</t>
  </si>
  <si>
    <t>对生产经营单位对从业人员安全培训的时间少于《生产经营单位安全培训规定》或者有关标准规定的处罚</t>
  </si>
  <si>
    <t>1.【部门规章】《安全生产培训管理办法》（原国家安全监
管总局令第44号，2015年5月修改）第三十六条：“生产经
营单位有下列情形之一的，责令改正，处3万元以下的罚
款：（一）从业人员安全培训的时间少于《生产经营单位安
全培训规定》或者有关标准规定的；”</t>
  </si>
  <si>
    <t>3200-B-05300-140602</t>
  </si>
  <si>
    <t>对生产经营单位相关人员未按照《安全生产培训管理办法》第十二条规定重新参加安全培训的处罚</t>
  </si>
  <si>
    <t>1.【部门规章】《安全生产培训管理办法》（原国家安全监管总局令第44号，2015年5月修改）第三十六条：“生产经营单位有下列情形之一的，责令改正，处3万元以下的罚款：（三）相关人员未按照本办法第十二条规定重新参加安全培训的；”</t>
  </si>
  <si>
    <t>1.【部门规章】《安全生产培训管理办法》（原国家安全监管总局令第44号，2015年5月修改）第三十三条：“安全生产监督管理部门、煤矿安全监察机构、煤矿安全培训监管机构的工作人员在安全培训监督管理工作中滥用职权、玩忽职守、徇私舞弊的，依照有关规定给予处分；构成犯罪的，依法追究刑事责任。”
2.【其他法律法规规章】《监察
法》《行政处罚法》《行政机关公务员处分条例》《山西省行政执法条例》等规定的追责情形。</t>
  </si>
  <si>
    <t>3200-B-05400-140602</t>
  </si>
  <si>
    <t>对未按照规定对从业人员、被派遣劳动者、实习学生进行安全生产教育和培训的处罚</t>
  </si>
  <si>
    <t>1.【法律】《安全生产法》（2002年6月29日通过，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三)未按照规定对从业人员、被派遣劳动者、实习学生进行安全生产教育和培训，或者未按照规定如实告知有关的安全生产事项的；”
2.【部门规章】《生产经营单位安全培训规定》（原国家安全监管总局令第3号，2015年5月修改）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二）未按照规定对从业人员、被派遣劳动者、实习学生进行安全生产教育和培训或者未如实告知其有关安全生产事项的；”</t>
  </si>
  <si>
    <t>3200-B-05500-140602</t>
  </si>
  <si>
    <t>对非煤矿山工程项目承包单位对项目部疏于管理，未定期对项目部人员进行安全生产教育培训与考核的处罚</t>
  </si>
  <si>
    <t>1.【部门规章】《非煤矿山外包工程安全管理暂行办法》（原国家安全监管总局令第62号，2015年5月修改）第三十八条：“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第二十条：“承包单位应当加强对所属项目部的安全管理，每半年至少进行一次安全生产检查，对项目部人员每年至少进行一次安全生产教育培训与考核。禁止承包单位以转让、出租、出借资质证书等方式允许他人以本单位的名义承揽工程。”</t>
  </si>
  <si>
    <t>1.【部门规章】《非煤矿山外包工程安全管理暂行办法》（原国家安全监管总局令第62号，2015年5月修改）第四十条：“安全生产监督管理部门的行政执法人员在外包工程安全监督管理过程中滥用职权、玩忽职守、徇私舞弊的，依照有关规定给予处分；构成犯罪的，依法追究刑事责任。”
2.【其他法律法规规章】《行政处罚法》《行政机关公务员处分条例》《山西省行政执法条例》等规定的追责情形。</t>
  </si>
  <si>
    <t>3200-B-05600-140602</t>
  </si>
  <si>
    <t>对工贸企业未 按照《工贸企 业有限空间作 业安全管理与 监督暂行规定 》对有限空间 的现场负责人 、监护人员、 作业人员和应 急救援人员进 行安全培训的 处罚</t>
  </si>
  <si>
    <t>【部门规章】《工贸企业有限空间作业安全管理与监督暂 行规定》（原国家安全监管总局令第59号，2015年5月修 改）第二十九条：“工贸企业有下列情形之一的，由县级以 上安全生产监督管理部门责令限期改正，可以处5万元以下 的罚款；逾期未改正的，责令停产停业整顿，并处5万元以 上10万元以下的罚款，对其直接负责的主管人员和其他直接 责任人员处1万元以上2万元以下的罚款：（一）未按照本规 定对有限空间的现场负责人、监护人员、作业人员和应急救 援人员进行安全培训的；” 第六条：“……专项安全培训应当包括下列内容：（一）有 限空间作业的危险有害因素和安全防范措施；（二）有限空 间作业的安全操作规程；（三）检测仪器、劳动防护用品的 正确使用；（四）紧急情况下的应急处置措施。”</t>
  </si>
  <si>
    <t>【其他法律法规规章】《行政处罚法》《行政机关公务员处分条例》《山西省行政执法条例》等规定的追责情形。</t>
  </si>
  <si>
    <t>3200-B-05700-140602</t>
  </si>
  <si>
    <t>对特种作业人 员未按照规定 经专门的安全 作业培训并取 得相应资格， 上岗作业的处 罚</t>
  </si>
  <si>
    <t>【法律】《安全生产法》（2002年6月通过，2014年8月修 正）（2002年6月通过，2014年8月修改）第九十四条第：“ 生产经营单位有下列行为之一的，责令限期改正，可以处五 万元以下的罚款；逾期未改正的，责令停产停业整顿，并处 五万元以上十万元以下的罚款，对其直接负责的主管人员和 其他直接责任人员处一万元以上二万元以下的罚款：(七)特 种作业人员未按照规定经专门的安全作业培训并取得相应资 格，上岗作业的；”</t>
  </si>
  <si>
    <t>1.【法律】《安全生产法》 （2002年6月通过，2014年8月修 正）第八十七条：“负有安全生 产监督管理职责的部门的工作人 员，有下列行为之一的，给予降 级或者撤职的处分；构成犯罪 的，依照刑法有关规定追究刑事 责任： （三）对已经依法取得批准的单 位不履行监督管理职责，发现其 不再具备安全生产条件而不撤销 原批准或者发现安全生产违法行 为不予查处的； （四）在监督检查中发现重大事 故隐患，不依法及时处理的。 负有安全生产监督管理职责 的部门的工作人员有前款规定以 外的滥用职权、玩忽职守、徇私 舞弊行为的，依法给予处分；构 成犯罪的，依照刑法有关规定追 究刑事责任。”
 2.【其他法律法规规章】《行政处罚法》《行政机关公务员处分条例》《山西省行政执法条例》等规定的追责情形。</t>
  </si>
  <si>
    <t>3200-B-05800-140602</t>
  </si>
  <si>
    <t>对生产经营单 位使用未取得 特种作业操作 证的特种作业 人员上岗作业 的处罚</t>
  </si>
  <si>
    <t>【部门规章】《特种作业人员安全技术培训考核管理规定 》（原国家安全监管总局令第30号，2015年7月修改）第三 十九条：“生产经营单位使用未取得特种作业操作证的特种 作业人员上岗作业的，责令限期改正；可以处5万元以下的 罚款；逾期未改正的，责令停产停业整顿，并处5万元以上 10万元以下的罚款，对直接负责的主管人员和其他直接责任 人员处1万元以上2万元以下的罚款。”</t>
  </si>
  <si>
    <t>3200-B-05900-140602</t>
  </si>
  <si>
    <t>对生产经营单 位特种作业人 员以欺骗、贿 赂等不正当手 段取得特种作 业操作证的处 罚</t>
  </si>
  <si>
    <t>【部门规章】《安全生产培训管理办法》（原国家安全监 管总局令第44号，2015年5月修改）第三十五条：“生产经 营单位主要负责人、安全生产管理人员、特种作业人员以欺 骗、贿赂等不正当手段取得安全合格证或者特种作业操作证 的，除撤销其相关证书外，处3千元以下的罚款，并自撤销 其相关证书之日起3年内不得再次申请该证书。”</t>
  </si>
  <si>
    <t>3200-B-06000-140602</t>
  </si>
  <si>
    <t>对生产经营单 位非法印制、 伪造、倒卖特 种 作 业 操 作 证，或者使用 非法印制、伪 造、倒卖的特 种作业操作证 的处罚</t>
  </si>
  <si>
    <t>【部门规章】《特种作业人员安全技术培训考核管理规定 》（原国家安全监管总局令第30号，2015年7月修改）第四 十条：“生产经营单位非法印制、伪造、倒卖特种作业操作 证，或者使用非法印制、伪造、倒卖的特种作业操作证的， 给予警告，并处1万元以上3万元以下的罚款；构成犯罪的， 依法追究刑事责任。”</t>
  </si>
  <si>
    <t>3200-B-06100-140602</t>
  </si>
  <si>
    <t>对特种作业人 员伪造、涂改 特种作业操作 证或者使用伪 造的特种作业 操作证的处罚</t>
  </si>
  <si>
    <t>【部门规章】《特种作业人员安全技术培训考核管理规定 》（原国家安全监管总局令第30号，2015年7月修改）第四 十一条：“特种作业人员伪造、涂改特种作业操作证或者使 用伪造的特种作业操作证的，给予警告，并处1000元以上 5000元以下的罚款。”</t>
  </si>
  <si>
    <t>3200-B-06200-140602</t>
  </si>
  <si>
    <t>对特种作业人 员转借、转让 、冒用特种作 业操作证的处 罚</t>
  </si>
  <si>
    <t>【部门规章】《特种作业人员安全技术培训考核管理规定 》（原国家安全监管总局令第30号，2015年7月修改）第四 十一条：“特种作业人员转借、转让、冒用特种作业操作证 的，给予警告，并处2000元以上10000元以下的罚款。”</t>
  </si>
  <si>
    <t>3200-B-06300-140602</t>
  </si>
  <si>
    <t>对生产经营单 位未将安全培 训工作纳入本 单位工作计划 并保证安全培 训工作所需资 金的处罚</t>
  </si>
  <si>
    <t>【部门规章】《生产经营单位安全培训规定》（原国家安 全监管总局令第3号，2015年5月修改） 第二十九条：“生 产经营单位有下列行为之一的，由安全生产监管监察部门责 令其限期改正，可以处1万元以上3万元以下的罚款：（一） 未将安全培训工作纳入本单位工作计划并保证安全培训工作 所需资金的；”</t>
  </si>
  <si>
    <t>1.【部门规章】《生产经营单位 安全培训规定》（原国家安全监 管总局令第3号，2015年5月修 改） 第三十一条：“安全生产监 管监察部门有关人员在考核、发 证工作中玩忽职守、滥用职权 的，由上级安全生产监管监察部 门或者行政监察部门给予记过、 记大过的行政处分。”
2.【其他法律法规规章】《行政处罚法》《行政机关公务员处分条例》《山西省行政执法条例》等规定的追责情形。</t>
  </si>
  <si>
    <t>3200-B-06400-140602</t>
  </si>
  <si>
    <t>对生产经营单 位在从业人员 安全培训期间 未支付工资并 承担安全培训 费用的处罚</t>
  </si>
  <si>
    <t>【部门规章】《生产经营单位安全培训规定》（原国家安 全监管总局令第3号，2015年5月修改） 第二十九条：“生 产经营单位有下列行为之一的，由安全生产监管监察部门责 令其限期改正，可以处1万元以上3万元以下的罚款：（二） 从业人员进行安全培训期间未支付工资并承担安全培训费用 的。”</t>
  </si>
  <si>
    <t>3200-B-06500-140602</t>
  </si>
  <si>
    <t>对未按照财政 部《企业安全 生产费用提取 和使用管理办 法》规定，提 取和使用安全 生产费用的处 罚</t>
  </si>
  <si>
    <t>1.【法律】《安全生产法》（2002年6月通过，2014年8月修 正）第二十条：“有关生产经营单位应当按照规定提取和使 用安全生产费用，专门用于改善安全生产条件。安全生产费 用在成本中据实列支。安全生产费用提取、使用和监督管理 的具体办法由国务院财政部门会同国务院安全生产监督管理 部门征求国务院有关部门意见后制定。”</t>
  </si>
  <si>
    <t>1.【法律】《安全生产法》（2002 年6月通过，2014年8月修正）第八 十七条：“负有安全生产监督管理 职责的部门的工作人员，有下列行 为之一的，给予降级或者撤职的处 分；构成犯罪的，依照刑法有关规 定追究刑事责任： （三）对已经依法取得批准的单位 不履行监督管理职责，发现其不再 具备安全生产条件而不撤销原批准 或者发现安全生产违法行为不予查 处的； （四）在监督检查中发现重大事故 隐患，不依法及时处理的。 负有安全生产监督管理职责的 部门的工作人员有前款规定以外的 滥用职权、玩忽职守、徇私舞弊行 为的，依法给予处分；构成犯罪 的，依照刑法有关规定追究刑事责 任。” 
2.【其他法律法规规章】《行政处罚法》《行政机关公务员处分条例》《山西省行政执法条例》等规定的追责情形。</t>
  </si>
  <si>
    <t>3200-B-06600-140602</t>
  </si>
  <si>
    <t>对非煤矿山工 程项目承包单 位将发包单位 投入的安全资 金挪作他用的 处罚</t>
  </si>
  <si>
    <t>【部门规章】《非煤矿山外包工程安全管理暂行办法》 （原国家安全监管总局令第62号，2015年5月修改）第三十 七条：“承包单位违反本办法第二十二条的规定，将发包单 位投入的安全资金挪作他用的，责令限期改正，给予警告， 并处１万元以上３万元以下罚款。”</t>
  </si>
  <si>
    <t>1.【部门规章】《非煤矿山外包 工程安全管理暂行办法》（原国 家安全监管总局令第62号，2015 年5月修改）第四十条：“安全生 产监督管理部门的行政执法人员 在外包工程安全监督管理过程中 滥用职权、玩忽职守、徇私舞弊 的，依照有关规定给予处分；构 成犯罪的，依法追究刑事责任。 ”
2.【其他法律法规规章】《行政处罚法》《行政机关公务员处分条例》《山西省行政执法条例》等规定的追责情形。</t>
  </si>
  <si>
    <t>3200-B-06700-140602</t>
  </si>
  <si>
    <t>对未建立事故隐患排查治理制度的处罚</t>
  </si>
  <si>
    <t>【法律】《安全生产法》（2002年6月通过，2014年8月修 正）（2002年6月通过，2014年8月修改）第九十八条：“生 产经营单位有下列行为之一的，责令限期改正，可以处十万 元以下的罚款；逾期未改正的，责令停产停业整顿，并处十 万元以上二十万元以下的罚款，对其直接负责的主管人员和 其他直接责任人员处二万元以上五万元以下的罚款；构成犯 罪的，依照刑法有关规定追究刑事责任：(四)未建立事故隐 患排查治理制度的。”</t>
  </si>
  <si>
    <t>1.【法律】《安全生产法》 （2002年6月通过，2014年8月修 正）第八十七条：“负有安全生 产监督管理职责的部门的工作人 员，有下列行为之一的，给予降 级或者撤职的处分；构成犯罪 的，依照刑法有关规定追究刑事 责任： （三）对已经依法取得批准的单 位不履行监督管理职责，发现其 不再具备安全生产条件而不撤销 原批准或者发现安全生产违法行 为不予查处的； （四）在监督检查中发现重大事 故隐患，不依法及时处理的。 负有安全生产监督管理职责 的部门的工作人员有前款规定以 外的滥用职权、玩忽职守、徇私 舞弊行为的，依法给予处分；构 成犯罪的，依照刑法有关规定追 究刑事责任。”
2.【其他法律法规规章】《行政处罚法》《行政机关公务员处分条例》《山西省行政执法条例》等规定的追责情形。</t>
  </si>
  <si>
    <t>3200-B-06800-140602</t>
  </si>
  <si>
    <t>对生产经营单 位未采取措施 消除事故隐患 的处罚</t>
  </si>
  <si>
    <t>1.【法律】《安全生产法》（2002年6月通过，2014年8月修 正）（2002年6月通过，2014年8月修改）第九十九条：“生 产经营单位未采取措施消除事故隐患的，责令立即消除或者 限期消除；生产经营单位拒不执行的，责令停产停业整顿， 并处十万元以上五十万元以下的罚款，对其直接负责的主管 人员和其他直接责任人员处二万元以上五万元以下的罚款。</t>
  </si>
  <si>
    <t>1.【法律】《安全生产法》 （2002年6月29日通过，2014年8 月31日修正）第八十七条：“负 有安全生产监督管理职责的部门 的工作人员，有下列行为之一 的，给予降级或者撤职的处分； 构成犯罪的，依照刑法有关规定 追究刑事责任： （三）对已经依法取得批准的单 位不履行监督管理职责，发现其 不再具备安全生产条件而不撤销 原批准或者发现安全生产违法行 为不予查处的； （四）在监督检查中发现重大事 故隐患，不依法及时处理的。 负有安全生产监督管理职责 的部门的工作人员有前款规定以 外的滥用职权、玩忽职守、徇私 舞弊行为的，依法给予处分；构 成犯罪的，依照刑法有关规定追 究刑事责任。” 
2.【其他法律法规规章】《行政处罚法》《行政机关公务员处分条例》《山西省行政执法条例》等规定的追责情形。</t>
  </si>
  <si>
    <t>3200-B-06900-140602</t>
  </si>
  <si>
    <t>对生产经营单 位未制定事故 隐患治理方案 的处罚</t>
  </si>
  <si>
    <t>【部门规章】《安全生产事故隐患排查治理暂行规定》 （原国家安全监管总局令第16号） 第二十六条：“生产经 营单位违反本规定，有下列行为之一的，由安全监管监察部 门给予警告，并处三万元以下的罚款：（三）未制定事故隐 患治理方案的；”</t>
  </si>
  <si>
    <t>1.【部门规章】《安全生产事故 隐患排查治理暂行规定》（原国 家安全监管总局令第16号） 第二 十九条：“安全监管监察部门的 工作人员未依法履行职责的，按 照有关规定处理。”
2.【其他法律法规规章】《行政处罚法》《行政机关公务员处分条例》《山西省行政执法条例》等规定的追责情形。</t>
  </si>
  <si>
    <t>3200-B-07000-140602</t>
  </si>
  <si>
    <t>对生产经营单 位未对事故隐 患进行排查治 理擅自生产经 营的处罚</t>
  </si>
  <si>
    <t>【部门规章】《安全生产事故隐患排查治理暂行规定》 （原国家安全监管总局令第16号） 第二十六条：“生产经 营单位违反本规定，有下列行为之一的，由安全监管监察部 门给予警告，并处三万元以下的罚款：（五）未对事故隐患 进行排查治理擅自生产经营的；”</t>
  </si>
  <si>
    <t>1.【部门规章】《安全生产事故 隐患排查治理暂行规定》（原国 家安全监管总局令第16号） 第二 十九条：“安全监管监察部门的 工作人员未依法履行职责的，按 照有关规定处理。”
 2.【其他法律法规规章】《行政处罚法》《行政机关公务员处分条例》《山西省行政执法条例》等规定的追责情形。</t>
  </si>
  <si>
    <t>3200-B-07100-140602</t>
  </si>
  <si>
    <t>对生产经营单 位整改不合格 或者未经安全 监管监察部门 审查同意擅自 恢复生产经营 的处罚</t>
  </si>
  <si>
    <t>【部门规章】《安全生产事故隐患排查治理暂行规定》 （原国家安全监管总局令第16号） 第二十六条：“生产经 营单位违反本规定，有下列行为之一的，由安全监管监察部 门给予警告，并处三万元以下的罚款：（六）整改不合格或 者未经安全监管监察部门审查同意擅自恢复生产经营的。”</t>
  </si>
  <si>
    <t>3200-B-07200-140602</t>
  </si>
  <si>
    <t>对生产经营单 位及其主要负 责人或者其他 人员故意提供 虚假情况或者 隐瞒存在的事 故隐患以及其 他安全问题的 处罚</t>
  </si>
  <si>
    <t>【部门规章】《安全生产违法行为行政处罚办法》（原国 家安全监管总局令第15号，2015年4月修改） 第四十五条： “生产经营单位及其主要负责人或者其他人员有下列行为之 一的，给予警告，并可以对生产经营单位处1万元以上3万元 以下罚款，对其主要负责人、其他有关人员处1千元以上1万 元以下的罚款：（六）故意提供虚假情况或者隐瞒存在的事 故隐患以及其他安全问题的；”</t>
  </si>
  <si>
    <t>3200-B-07300-140602</t>
  </si>
  <si>
    <t>对生产、储存 、使用危险化 学品的单位转 产、停产、停 业或者解散， 未采取有效措 施及时、妥善 处置其危险化 学品生产装置 、储存设施以 及库存的危险 化学品，或者 丢弃危险化学 品的处罚</t>
  </si>
  <si>
    <t>【行政法规】《危险化学品安全管理条例》（国务院令第 591号，2013年12月修改）第八十二条：“生产、储存、使 用危险化学品的单位转产、停产、停业或者解散，未依照本 条例规定将其危险化学品生产装置、储存设施以及库存危险 化学品的处置方案报有关部门备案的，分别由有关部门责令 改正，可以处1万元以下的罚款；拒不改正的，处1万元以上 5万元以下的罚款。”</t>
  </si>
  <si>
    <t>1.【行政法规】《危险化学品安 全管理条例》（国务院令第 591号，2013年12月修改）第九十 六条：“负有危险化学品安全监 督管理职责的部门的工作人员， 在危险化学品安全监督管理工作 中滥用职权、玩忽职守、徇私舞 弊，构成犯罪的，依法追究刑事 责任；尚不构成犯罪的，依法给 予处分。”
2.【其他法律法规规章】《行政处罚法》《行政机关公务员处分条例》《山西省行政执法条例》等规定的追责情形。</t>
  </si>
  <si>
    <t>3200-B-07700-140602</t>
  </si>
  <si>
    <t>对对转产、停 产、停止使用 的危险化学品 管道，管道单 位未采取有效 措施及时、妥 善处置的处罚</t>
  </si>
  <si>
    <t>【部门规章】《危险化学品输送管道安全管理规定》（原 国家安全监管总局令第43号，2015年5月修改）第三十六 条：“对转产、停产、停止使用的危险化学品管道，管道单 位未采取有效措施及时、妥善处置的，由安全生产监督管理 部门责令改正，处5万元以上10万元以下的罚款；构成犯罪 的，依法追究刑事责任。”</t>
  </si>
  <si>
    <t>3200-B-07500-140602</t>
  </si>
  <si>
    <t>对非煤矿山工 程项目承包单 位未按规定排 查治理事故隐 患的处罚</t>
  </si>
  <si>
    <t>【部门规章】《非煤矿山外包工程安全管理暂行办法》 （原国家安全监管总局令第62号，2015年5月修改）第三十 七条：“承包单位未按照本办法第二十三条的规定排查治理 事故隐患的，责令立即消除或者限期消除；承包单位拒不执 行的，责令停产停业整顿，并处１０万元以上５０万元以下 的罚款，对其直接负责的主管人员和其他直接责任人员处２ 万元以上５万元以下的罚款。” 第二十三条：“承包单位应当依照有关规定制定施工方案， 加强现场作业安全管理，及时发现并消除事故隐患，落实各 项规章制度和安全操作规程。承包单位发现事故隐患后应当 立即治理；不能立即治理的应当采取必要的防范措施，并及 时书面报告发包单位协商解决，消除事故隐患。地下矿山工 程承包单位及其项目部的主要负责人和领导班子其他成员应 当严格依照《金属非金属地下矿山企业领导带班下井及监督 检查暂行规定》执行带班下井制度。”</t>
  </si>
  <si>
    <t>【1.【部门规章】《非煤矿山外包 工程安全管理暂行办法》（原国 家安全监管总局令第62号，2015 年5月修改）第四十条：“安全生 产监督管理部门的行政执法人员 在外包工程安全监督管理过程中 滥用职权、玩忽职守、徇私舞弊 的，依照有关规定给予处分；构 成犯罪的，依法追究刑事责任。 ”
2.【其他法律法规规章】《行政处罚法》《行政机关公务员处分条例》《山西省行政执法条例》等规定的追责情形。</t>
  </si>
  <si>
    <t>3200-B-07600-140602</t>
  </si>
  <si>
    <t>对小型露天采 石场在作业前和作业中以及 每次爆破后， 发现工作面有 裂痕，或者在 坡面上有浮石 、危石和伞檐 体 可 能 塌 落 ，未立即停 止作业并撤离 人员至安全地 点，采取安全 措施和消除隐 患的处罚</t>
  </si>
  <si>
    <t>【部门规章】《小型露天采石场安全管理与监督检查规定 》（原国家安全监管总局令第39号，2015年5月修改）第三 十九条：“违反本规定第十二条、第十三条第一、二款、第 十四条、第十五条、第十六条、第十七条、第十九条、第二 十条第一款、第二十一条、第二十二条规定的，给予警告， 并处1万元以上3万元以下的罚款。”第二十条第一款：“小 型露天采石场在作业前和作业中以及每次爆破后，应当对坡 面进行安全检查。发现工作面有裂痕，或者在坡面上有浮石 、危石和伞檐体可能塌落时，应当立即停止作业并撤离人员 至安全地点，采取安全措施和消除隐患。”</t>
  </si>
  <si>
    <t>1.【部门规章】《小型露天采石 场安全管理与监督检查规定》 （原国家安全监管总局令第 39号，2015年5月修改）第三十五 条：“安全生产监督管理部门及 其工作人员违反法律法规和本规 定，未依法履行对小型露天采石 场安全生产监督检查职责的，依 法给予行政处分。” 
2.【其他法律法规规章】《行政处罚法》《行政机关公务员处分条例》《山西省行政执法条例》等规定的追责情形。</t>
  </si>
  <si>
    <t>对危险物品的 生产、经营、 储存单位以及 矿山、金属冶 炼单位预案未 备案、未建立 应急值班制度 或者配备应急 值班人员的处 罚</t>
  </si>
  <si>
    <t>【行政法规】《生产安全事故应急条例》(2018年12月5日 公布国务院令第708号)第三十二条：“生产经营单位未将生 产安全事故应急救援预案报送备案、未建立应急值班制度或 者配备应急值班人员的，由县级以上人民政府负有安全生产 监督管理职责的部门责令限期改正；逾期未改正的，处3万 元以上5万元以下的罚款，对直接负责的主管人员和其他直 接责任人员处1万元以上2万元以下的罚款。”</t>
  </si>
  <si>
    <t>1.【行政法规】《生产安全事故 应急条例》(2018年12月5日公布 国务院令第708号)第二十九条： “地方各级人民政府和街道办事 处等地方人民政府派出机关以及 县级以上人民政府有关部门违反 本条例规定的，由其上级行政机 关责令改正；情节严重的，对直 接负责的主管人员和其他直接责 任人员依法给予处分。”
 2.【其他法律法规规章】《行政处罚法》《行政机关公务员处分条例》《山西省行政执法条例》等规定的追责情形。</t>
  </si>
  <si>
    <t>3200-B-07800-140602</t>
  </si>
  <si>
    <t>对未按照规定 制定生产安全 事故应急救援 预案的处罚</t>
  </si>
  <si>
    <t>1.【法律】《安全生产法》（2002年6月29日通过，2014年8 月31日修正）第九十四条：“生产经营单位有下列行为之一 的，责令限期改正，可以处五万元以下的罚款；逾期未改正 的，责令停产停业整顿，并处五万元以上十万元以下的罚 款，对其直接负责的主管人员和其他直接责任人员处一万元 以上二万元以下的罚款：（六）未按照规定制定生产安全事 故应急救援预案或者未定期组织演练的。” 2.【部门规章】《生产安全事故应急预案管理办法》（2016 年6月3日公布 原国家安全监管总局令第88号）第四十四 条：“生产经营单位有下列情形之一的，由县级以上安全生 产监督管理部门依照《安全生产法》（2002年6月29日通 过，2014年8月31日修正）第九十四条的规定，责令限期改 正，可以处5万元以下罚款；逾期未改正的，责令停产停业 整顿，并处5万元以上10万元以下罚款，对直接负责的主管 人员和其他直接责任人员处1万元以上2万元以下的罚款： （一）未按照规定编制应急预案的” 3.【部门规章】《工贸企业有限空间作业安全管理与监督 暂行规定》（2013年5月20日总局令第59号公布，根据2015 年5月29日总局令第80号修正）第二十九条：“工贸企业有 下列情形之一的，由县级以上安全生产监督管理部门责令限 期改正，可以处5万元以下的罚款；逾期未改正的，责令停 产停业整顿，并处5万元以上10万元以下的罚款，对其直接 负责的主管人员和其他直接责任人员处1万元以上2万元以下 的罚款：未按照本规定对有限空间作业制定应急预案，或者 定期进行演练的。”</t>
  </si>
  <si>
    <t>1.【法律】《安全生产法》 （2002年6月29日通过，2014年8 月31日修正）第八十七条：“负 有安全生产监督管理职责的部门 的工作人员，有下列行为之一 的，给予降级或者撤职的处分； 构成犯罪的，依照刑法有关规定 追究刑事责任： （三）对已经依法取得批准的单 位不履行监督管理职责，发现其 不再具备安全生产条件而不撤销 原批准或者发现安全生产违法行 为不予查处的； （四）在监督检查中发现重大事 故隐患，不依法及时处理的。 负有安全生产监督管理职责 的部门的工作人员有前款规定以 外的滥用职权、玩忽职守、徇私 舞弊行为的，依法给予处分；构 成犯罪的，依照刑法有关规定追 究刑事责任。”
 2.【其他法律法规规章】《行政处罚法》《行政机关公务员处分条例》《山西省行政执法条例》等规定的追责情形。</t>
  </si>
  <si>
    <t>3200-B-07900-140602</t>
  </si>
  <si>
    <t>对未定期组织演练的处罚</t>
  </si>
  <si>
    <t>1.【法律】《安全生产法》（2002年6月29日通过，2014年8 月31日修正）第九十四条：“生产经营单位有下列行为之一 的，责令限期改正，可以处五万元以下的罚款；逾期未改正 的，责令停产停业整顿，并处五万元以上十万元以下的罚 款，对其直接负责的主管人员和其他直接责任人员处一万元 以上二万元以下的罚款：（六）未按照规定制定生产安全事 故应急救援预案或者未定期组织演练的。” 2.【部门规章】《生产安全事故应急预案管理办法》（2016 年6月3日公布 原国家安全监管总局令第88号）第四十四 条：“生产经营单位有下列情形之一的，由县级以上安全生 产监督管理部门依照《安全生产法》（2002年6月29日通 过，2014年8月31日修正）第九十四条的规定，责令限期改 正，可以处5万元以下罚款；逾期未改正的，责令停产停业 整顿，并处5万元以上10万元以下罚款，对直接负责的主管 人员和其他直接责任人员处1万元以上2万元以下的罚款：未 按照规定定期组织应急预案演练的。” 【部门规章】《工贸企业有限空间作业安全管理与监督暂 行规定》（2013年5月20日总局令第59号公布，根据2015年5 月29日总局令第80号修正）第二十九条：“工贸企业有下列 情形之一的，由县级以上安全生产监督管理部门责令限期改 正，可以处5万元以下的罚款；逾期未改正的，责令停产停 业整顿，并处5万元以上10万元以下的罚款，对其直接负责 的主管人员和其他直接责任人员处1万元以上2万元以下的罚 款：未按照本规定对有限空间作业制定应急预案，或者定期 进行演练的。”</t>
  </si>
  <si>
    <t>3200-B-08000-140602</t>
  </si>
  <si>
    <t>对生产经营单位在应急预案编制前未按照规定开展风险 评估和应急资源调查的处罚</t>
  </si>
  <si>
    <t>【部门规章】《生产安全事故应急预案管理办法》（2016 年6月3日公布 原国家安全监管总局令第88号）第四十五 条：“生产经营单位有下列情形之一的，由县级以上安全生 产监督管理部门责令限期改正，可以处1万元以上3万元以下 罚款：（一）在应急预案编制前未按照规定开展风险评估和 应急资源调查的。”</t>
  </si>
  <si>
    <t>3200-B-08100-140602</t>
  </si>
  <si>
    <t>对未按照规定 开展应急预案 评审或者论证 的处罚</t>
  </si>
  <si>
    <t>【部门规章】《生产安全事故应急预案管理办法》（2016 年6月3日公布 原国家安全监管总局令第88号）第四十五 条：“生产经营单位有下列情形之一的，由县级以上安全生 产监督管理部门责令限期改正，可以处1万元以上3万元以下 罚款：（二）未按照规定开展应急预案评审或者论证的。”</t>
  </si>
  <si>
    <t>3200-B-08200-140602</t>
  </si>
  <si>
    <t>对未按照规定 开展应急预案 评估的处罚</t>
  </si>
  <si>
    <t>【部门规章】《生产安全事故应急预案管理办法》（2016 年6月3日公布 原国家安全监管总局令第88号）第四十五 条：“生产经营单位有下列情形之一的，由县级以上安全生 产监督管理部门责令限期改正，可以处1万元以上3万元以下 罚款：（五）未按照规定开展应急预案评估的。”</t>
  </si>
  <si>
    <t>1.【其他法律法规规章】《行政处罚法》《行政机关公务员处分条例》《山西省行政执法条例》等规定的追责情形。
2.【其他法律法规规章】《行政处罚法》《行政机关公务员处分条例》《山西省行政执法条例》等规定的追责情形。</t>
  </si>
  <si>
    <t>3200-B-08300-140602</t>
  </si>
  <si>
    <t>对未落实应急 预案规定的应 急物资及装备 的处罚</t>
  </si>
  <si>
    <t>【部门规章】《生产安全事故应急预案管理办法》（2016 年6月3日公布 原国家安全监管总局令第88号）第四十五 条：“生产经营单位有下列情形之一的，由县级以上安全生 产监督管理部门责令限期改正，可以处1万元以上3万元以下 罚款：（七）未落实应急预案规定的应急物资及装备的。”</t>
  </si>
  <si>
    <t>3200-B-08400-140602</t>
  </si>
  <si>
    <t>对未按照规定 进行应急预案 修订并重新备 案的处罚</t>
  </si>
  <si>
    <t>【部门规章】《生产安全事故应急预案管理办法》（2016 年6月3日公布 原国家安全监管总局令第88号）第四十五 条：“生产经营单位有下列情形之一的，由县级以上安全生 产监督管理部门责令限期改正，可以处1万元以上3万元以下 罚款：（六）未按照规定进行应急预案修订并重新备案的。</t>
  </si>
  <si>
    <t>3200-B-08500-140602</t>
  </si>
  <si>
    <t>对危险物品的 生产、经营、 储存单位以及 矿山、金属冶 炼单位未建立 应急救援组织 或者生产经营 规模较小、未 指定兼职应急 救援人员的处 罚</t>
  </si>
  <si>
    <t>【部门规章】《安全生产违法行为行政处罚办法》（2007 年11月30日公布 原国家安全监管总局令第15号，2015年4月 2日原国家安全监管总局令第77号修正）第四十六条：“危 险物品的生产、经营、储存单位以及矿山、金属冶炼单位有 下列行为之一的，责令改正，并可以处1万元以上3万元以下 的罚款：（一）未建立应急救援组织或者生产经营规模较小 、未指定兼职应急救援人员的。”</t>
  </si>
  <si>
    <t>3200-B-08600-140602</t>
  </si>
  <si>
    <t>对危险物品的 生产、经营、 储存单位以及 矿山、金属冶 炼单位未配备 必要的应急救 援器材、设备 和物资，并进 行经常性维护 、保养，保证 正常运转的处 罚</t>
  </si>
  <si>
    <t>1.【部门规章】《安全生产违法行为行政处罚办法》（2007 年11月30日公布 原国家安全监管总局令第15号，2015年4月 2日原国家安全监管总局令第77号修正）第四十六条：“危 险物品的生产、经营、储存单位以及矿山、金属冶炼单位有 下列行为之一的，责令改正，并可以处1万元以上3万元以下 的罚款：（二）未配备必要的应急救援器材、设备和物资， 并进行经常性维护、保养，保证正常运转的。”</t>
  </si>
  <si>
    <t>3200-B-08700-140602</t>
  </si>
  <si>
    <t>对生产经营单 位或者尾矿库 管理单位违反 尾矿库建设、 运行、回采、 闭库有关安全 管理规定的处 罚</t>
  </si>
  <si>
    <t>【部门规章】《尾矿库安全监督管理规定》（2011年5月4 日公布 原国家安全监管总局令第38号，2015年5月26日原国 家安全监管总局令第78号修正）第三十九条：“生产经营单位或者尾矿库管理单位违反本规定第八条第二款、第十九条 、第二十条、第二十一条、第二十二条、第二十四条、第二 十六条、第二十九条第一款规定的，给予警告，并处1万元 以上3万元以下的罚款；对主管人员和直接责任人员由其所 在单位或者上级主管单位给予行政处分；构成犯罪的，依法 追究刑事责任。”</t>
  </si>
  <si>
    <t>1.【部门规章】《尾矿库安全监 督管理规定》（2011年5月4日公 布 原国家安全监管总局令第 38号，2015年5月26日原国家安全 监管总局令第78号修正）第三十 八条：“安全生产监督管理部门 的工作人员，未依法履行尾矿库 安全监督管理职责的，依照有关 规定给予行政处分。” 
2.【其他法律法规规章】《行政处罚法》《行政机关公务员处分条例》《山西省行政执法条例》等规定的追责情形。</t>
  </si>
  <si>
    <t>3200-B-08800-140602</t>
  </si>
  <si>
    <t>对生产经营单 位将生产经营 项目、场所、 设备发包或者 出租给不具备 安全生产条件 或者相应资质 的单位或者个 人的处罚</t>
  </si>
  <si>
    <t>【法律】《安全生产法》（2002年6月29日通过，2014年8 月31日修正）第一百条：“生产经营单位将生产经营项目、 场所、设备发包或者出租给不具备安全生产条件或者相应资 质的单位或者个人的，责令限期改正，没收违法所得；违法 所得十万元以上的，并处违法所得二倍以上五倍以下的罚 款；没有违法所得或者违法所得不足十万元的，单处或者并 处十万元以上二十万元以下的罚款；对其直接负责的主管人 员和其他直接责任人员处一万元以上二万元以下的罚款；导 致发生生产安全事故给他人造成损害的，与承包方、承租方 承担连带赔偿责任。”</t>
  </si>
  <si>
    <t>1.【法律】《安全生产法》 （2002年6月29日通过，2014年8 月31日修正）第八十七条：“负 有安全生产监督管理职责的部门 的工作人员，有下列行为之一 的，给予降级或者撤职的处分； 构成犯罪的，依照刑法有关规定 追究刑事责任： （三）对已经依法取得批准的单 位不履行监督管理职责，发现其 不再具备安全生产条件而不撤销 原批准或者发现安全生产违法行 为不予查处的； （四）在监督检查中发现重大事 故隐患，不依法及时处理的。 负有安全生产监督管理职责 的部门的工作人员有前款规定以 外的滥用职权、玩忽职守、徇私 舞弊行为的，依法给予处分；构 成犯罪的，依照刑法有关规定追 究刑事责任。” 
2.【其他法律法规规章】《监察 法【其他法律法规规章】《行政处罚法》《行政机关公务员处分条例》《山西省行政执法条例》等规定的追责情形。</t>
  </si>
  <si>
    <t>3200-B-08900-140602</t>
  </si>
  <si>
    <t>对生产经营单 位未与承包单 位、承租单位 签订专门的安 全生产管理协 议或者未在承 包合同、租赁 合同中明确各 自的安全生产 管理职责，或 者未对承包单 位、承租单位 的安全生产统 一协调、管理 的处罚</t>
  </si>
  <si>
    <t>【法律】《安全生产法》（2002年6月29日通过，2014年8 月31日修正）第一百条：“生产经营单位未与承包单位、承 租单位签订专门的安全生产管理协议或者未在承包合同、租 赁合同中明确各自的安全生产管理职责，或者未对承包单位 、承租单位的安全生产统一协调、管理的，责令限期改正， 可以处五万元以下的罚款，对其直接负责的主管人员和其他 直接责任人员可以处一万元以下的罚款；逾期未改正的，责 令停产停业整顿。”</t>
  </si>
  <si>
    <t>3200-B-09000-140602</t>
  </si>
  <si>
    <t>对非煤矿山工 程项目发包单 位与承包单位 、总承包单位 与分项承包单 位未按规定签 订安全生产管 理协议的处罚</t>
  </si>
  <si>
    <t>【部门规章】《非煤矿山外包工程安全管理暂行办法》 （2013年8月23日公布 原国家安全监管总局令第62号，2015 年5月26日原国家安全监管总局令第78号修正）第三十三 条：“发包单位与承包单位、总承包单位与分项承包单位未 依照本办法第八条规定签订安全生产管理协议的，责令限期 改正，可以处5万元以下的罚款，对其直接负责的主管人员 和其他直接责任人员可以处以1万元以下罚款；逾期未改正 的，责令停产停业整顿。”</t>
  </si>
  <si>
    <t>1.【部门规章】《非煤矿山外包 工程安全管理暂行办法》（2013 年8月23日原国家安全监管总局令 第62号公布，2015年5月26日原国 家安全监管总局令第78号修正） 第四十条：“安全生产监督管理 部门的行政执法人员在外包工程 安全监督管理过程中滥用职权、 玩忽职守、徇私舞弊的，依照有 关规定给予处分；构成犯罪的， 依法追究刑事责任。”
2.【其他法律法规规章】《行政处罚法》《行政机关公务员处分条例》《山西省行政执法条例》等规定的追责情形。</t>
  </si>
  <si>
    <t>3200-B-09100-140602</t>
  </si>
  <si>
    <t>对非煤矿山工 程项目发包单 位未对承包单 位实施安全生 产监督检查或 者考核的处罚</t>
  </si>
  <si>
    <t>1.【部门规章】《非煤矿山外包工程安全管理暂行办法》 （2013年8月23日公布 原国家安全监管总局令第62号，2015 年5月26日原国家安全监管总局令第78号修正）第三十四 条：“有关发包单位有下列行为之一的，责令限期改正，给 予警告，并处1万元以上3万元以下的罚款：（一）违反本办 法第十条、第十四条的规定，未对承包单位实施安全生产监 督检查或者考核的</t>
  </si>
  <si>
    <t>1.【部门规章】《非煤矿山外包 工程安全管理暂行办法》（2013 年8月23日原国家安全监管总局令 第62号公布，2015年5月26日原国 家安全监管总局令第78号修正） 第四十条：“安全生产监督管理 部门的行政执法人员在外包工程 安全监督管理过程中滥用职权、 玩忽职守、徇私舞弊的，依照有 关规定给予处分；构成犯罪的， 依法追究刑事责任。” 
2.【其他法律法规规章】《行政处罚法》《行政机关公务员处分条例》《山西省行政执法条例》等规定的追责情形。</t>
  </si>
  <si>
    <t>3200-B-09200-140602</t>
  </si>
  <si>
    <t>对非煤矿山工 程项目发包单 位未将承包单 位及其项目部 纳入本单位的 安 全 管 理 体 系，实行统一 管理的处罚</t>
  </si>
  <si>
    <t>1.【部门规章】《非煤矿山外包 工程安全管理暂行办法》（2013 年8月23日原国家安全监管总局令 第62号公布，2015年5月26日原国 家安全监管总局令第78号修正） 第四十条：“安全生产监督管理 部门的行政执法人员在外包工程 安全监督管理过程中滥用职权、 玩忽职守、徇私舞弊的，依照有 关规定给予处分；构成犯罪的， 依法追究刑事责任。”
 2.【其他法律法规规章】《行政处罚法》《行政机关公务员处分条例》《山西省行政执法条例》等规定的追责情形。</t>
  </si>
  <si>
    <t>3200-B-09300-140602</t>
  </si>
  <si>
    <t>对非煤矿山工 程项目发包单 位未向承包单 位进行外包工 程技术交底， 或者未按照合 同约定向承包 单位提供有关 资料的处罚</t>
  </si>
  <si>
    <t>【部门规章】《非煤矿山外包工程安全管理暂行办法》 （2013年8月23日公布 原国家安全监管总局令第62号，2015 年5月26日原国家安全监管总局令第78号修正）第三十四 条：“有关发包单位有下列行为之一的，责令限期改正，给 予警告，并处1万元以上3万元以下的罚款：（三）违反本办 法第十三条的规定，未向承包单位进行外包工程技术交底， 或者未按照合同约定向承包单位提供有关资料的。”</t>
  </si>
  <si>
    <t>3200-B-09400-140602</t>
  </si>
  <si>
    <t>对非煤矿山工 程项目发包单 位在地下矿山 正 常 生 产 期 间，将主通风 、主提升、供 排水、供配电 、主供风系统 及其设备设施 的运行管理进 行分项发包的 处罚</t>
  </si>
  <si>
    <t>【部门规章】《非煤矿山外包工程安全管理暂行办法》 （2013年8月23日公布 原国家安全监管总局令第62号，2015 年5月26日原国家安全监管总局令第78号修正）第三十五 条：“对地下矿山实行分项发包的发包单位违反本办法第十 二条的规定，在地下矿山正常生产期间，将主通风、主提升 、供排水、供配电、主供风系统及其设备设施的运行管理进 行分项发包的，责令限期改正，处2万元以上3万元以下罚款 。”</t>
  </si>
  <si>
    <t>3200-B-09500-140602</t>
  </si>
  <si>
    <t>对非煤矿山工 程项目承包单 位对项目部疏 于管理，未对 项目部进行安 全生产检查的 处罚</t>
  </si>
  <si>
    <t>【部门规章】《非煤矿山外包工程安全管理暂行办法》 （2013年8月23日公布 原国家安全监管总局令第62号，2015 年5月26日原国家安全监管总局令第78号修正）第三十八 条：“承包单位违反本办法第二十条规定对项目部疏于管 理，未定期对项目部人员进行安全生产教育培训与考核或者 未对项目部进行安全生产检查的，责令限期改正，可以处5 万元以下的罚款；逾期未改正的，责令停产停业整顿，并处 5万元以上10万元以下的罚款，对其直接负责的主管人员和 其他直接责任人员处1万元以上2万元以下的罚款。”</t>
  </si>
  <si>
    <t>3200-B-09600-140602</t>
  </si>
  <si>
    <t>对未在有较大 危险因素的生 产经营场所和 有关设施、设 备上设置明显 的安全警示标 志的处罚</t>
  </si>
  <si>
    <t>【法律】《安全生产法》（2002年6月29日通过，2014年8 月31日修正）第九十六条：“生产经营单位有下列行为之一 的，责令限期改正，可以处五万元以下的罚款；逾期未改正 的，处五万元以上二十万元以下的罚款，对其直接负责的主 管人员和其他直接责任人员处一万元以上二万元以下的罚 款；情节严重的，责令停产停业整顿；构成犯罪的，依照刑 法有关规定追究刑事责任：（一）未在有较大危险因素的生 产经营场所和有关设施、设备上设置明显的安全警示标志的 。”</t>
  </si>
  <si>
    <t>3200-B-09700-140602</t>
  </si>
  <si>
    <t>对生产、储存 危险化学品的 单位未在作业 场所和安全设 施、设备上设 置明显的安全 警示标志的处 罚</t>
  </si>
  <si>
    <t>【行政法规】《危险化学品安全管理条例》（2002年1月 26日公布 国务院令第344号，2013年12月7日修改）第七十 八条：“有下列情形之一的，由安全生产监督管理部门责令 改正，可以处5万元以下的罚款；拒不改正的，处5万元以上 10万元以下的罚款；情节严重的，责令停产停业整顿： （八）生产、储存危险化学品的单位未在作业场所和安全设 施、设备上设置明显的安全警示标志，或者未在作业场所设 置通信、报警装置的。”</t>
  </si>
  <si>
    <t>1.【行政法规】《危险化学品安 全管理条例》（2002年1月26日公 布 国务院令第344号，2013年12 月7日修改）第九十六条：“负有 危险化学品安全监督管理职责的 部门的工作人员，在危险化学品 安全监督管理工作中滥用职权、 玩忽职守、徇私舞弊，构成犯罪 的，依法追究刑事责任；尚不构 成犯罪的，依法给予处分。” 
2.【其他法律法规规章】《行政处罚法》《行政机关公务员处分条例》《山西省行政执法条例》等规定的追责情形。</t>
  </si>
  <si>
    <t>3200-B-09800-140602</t>
  </si>
  <si>
    <t>对危险化学品 专用仓库未设 置明显标志的 处罚</t>
  </si>
  <si>
    <t>【行政法规】《危险化学品安全管理条例》（2002年1月 26日公布 国务院令第344号，2013年12月7日修改）第七十 八条：“有下列情形之一的，由安全生产监督管理部门责令 改正，可以处5万元以下的罚款；拒不改正的，处5万元以上 10万元以下的罚款；情节严重的，责令停产停业整顿：（十 一）危险化学品专用仓库未设置明显标志的。”</t>
  </si>
  <si>
    <t>3200-B-09900-140602</t>
  </si>
  <si>
    <t>对生产、储存 危险化学品的 单位未对其铺 设的危险化学 品管道设置明 显的标志的处 罚</t>
  </si>
  <si>
    <t>【行政法规】《危险化学品安全管理条例》（2002年1月 26日公布 国务院令第344号，2013年12月7日修改）第七十 八条：“有下列情形之一的，由安全生产监督管理部门责令 改正，可以处5万元以下的罚款；拒不改正的，处5万元以上 10万元以下的罚款；情节严重的，责令停产停业整顿： （一）生产、储存危险化学品的单位未对其铺设的危险化学 品管道设置明显的标志，或者未对危险化学品管道定期检查 、检测的。”</t>
  </si>
  <si>
    <t>3200-B-10000-140602</t>
  </si>
  <si>
    <t>对管道单位未 对危险化学品 管道设置明显 的安全警示标 志的处罚</t>
  </si>
  <si>
    <t>【部门规章】《危险化学品输送管道安全管理规定》 （2012年1月17日公布 原国家安全监管总局令第43号，2015 年5月27日原国家安全监管总局令第79号修正）第三十四 条：“管道单位未对危险化学品管道设置明显的安全警示标 志的，由安全生产监督管理部门责令限期改正，可以处５万 元以下的罚款；逾期未改正的，处５万元以上２０万元以下 的罚款，对其直接负责的主管人员和其他直接责任人员处１ 万元以上２万元以下的罚款；情节严重的，责令停产停业整 顿；构成犯罪的，依照刑法有关规定追究刑事责任。”</t>
  </si>
  <si>
    <t>3200-B-10100-140602</t>
  </si>
  <si>
    <t>对承担安全评 价、认证、检 测、检验工作 的机构，出具 虚假证明的处 罚</t>
  </si>
  <si>
    <t>【法律】《安全生产法》（2002年6月29日通过，2014年8 月31日修正）第八十九条：“承担安全评价、认证、检测、 检验工作的机构，出具虚假证明的，没收违法所得；违法所 得在十万元以上的，并处违法所得二倍以上五倍以下的罚 款；没有违法所得或者违法所得不足十万元的，单处或者并 处十万元以上二十万元以下的罚款；对其直接负责的主管人 员和其他直接责任人员处二万元以上五万元以下的罚款；给 他人造成损害的，与生产经营单位承担连带赔偿责任；构成 犯罪的，依照刑法有关规定追究刑事责任。对有前款违法行 为的机构，吊销其相应资质。”</t>
  </si>
  <si>
    <t>1.【法律】《安全生产法》 （2002年6月29日通过，2014年8 月31日修正）第八十七条：“负 有安全生产监督管理职责的部门 的工作人员，有下列行为之一 的，给予降级或者撤职的处分； 构成犯罪的，依照刑法有关规定 追究刑事责任： （三）对已经依法取得批准的单 位不履行监督管理职责，发现其 不再具备安全生产条件而不撤销 原批准或者发现安全生产违法行 为不予查处的； （四）在监督检查中发现重大事 故隐患，不依法及时处理的。 负有安全生产监督管理职责 的部门的工作人员有前款规定以 外的滥用职权、玩忽职守、徇私 舞弊行为的，依法给予处分；构 成犯罪的，依照刑法有关规定追 究刑事责任。”
2.【其他法律法规规章】《行政处罚法》《行政机关公务员处分条例》《山西省行政执法条例》等规定的追责情形。</t>
  </si>
  <si>
    <t>3200-B-10200-140602</t>
  </si>
  <si>
    <t>对申请人以欺 骗、贿赂等不 正当手段取得 资质（包括资 质延续、资质 变更、增加业 务范围等）的 处罚</t>
  </si>
  <si>
    <t>【部门规章】《安全评价检测检验机构管理办法》（2018 年6月19日公布 应急管理部令第1号）第二十八条：“申请 人以欺骗、贿赂等不正当手段取得资质（包括资质延续、资 质变更、增加业务范围等）的，应当予以撤销。该申请人在 三年内不得再次申请；构成犯罪的，依法追究刑事责任。”</t>
  </si>
  <si>
    <t>3200-B-10300-140602</t>
  </si>
  <si>
    <t>对未取得资质 的机构及其有 关人员擅自从 事安全评价、 检测检验服务 的处罚</t>
  </si>
  <si>
    <t>【部门规章】《安全评价检测检验机构管理办法》（2018 年6月19日公布 应急管理部令第1号）第二十九条：“未取 得资质的机构及其有关人员擅自从事安全评价、检测检验服 务的，责令立即停止违法行为，依照下列规定给予处罚： （一）机构有违法所得的，没收其违法所得，并处违法所得 一倍以上三倍以下的罚款，但最高不得超过三万元；没有违 法所得的，处五千元以上一万元以下的罚款； （二）有关人员处五千元以上一万元以下的罚款。对有前款 违法行为的机构及其人员，由资质认可机关记入有关机构和 人员的信用记录，并依照有关规定予以公告。”</t>
  </si>
  <si>
    <t>3200-B-10400-140602</t>
  </si>
  <si>
    <t>对未依法与委 托方签订技术 服务合同的处 罚</t>
  </si>
  <si>
    <t>【部门规章】《安全评价检测检验机构管理办法》（2018 年6月19日公布 应急管理部令第1号）第三十条：“安全评 价检测检验机构有下列情形之一的，责令改正或者责令限期 改正，给予警告，可以并处一万元以下的罚款；逾期未改正 的，处一万元以上三万元以下的罚款，对相关责任人处一千 元以上五千元以下的罚款；情节严重的，处一万元以上三万 元以下的罚款，对相关责任人处五千元以上一万元以下的罚 款：（一）未依法与委托方签订技术服务合同的。”</t>
  </si>
  <si>
    <t>3200-B-10500-140602</t>
  </si>
  <si>
    <t>对违反法规标 准规定更改或 者简化安全评 价、检测检验 程序和相关内 容的处罚</t>
  </si>
  <si>
    <t>【部门规章】《安全评价检测检验机构管理办法》（2018 年6月19日公布 应急管理部令第1号）第三十条：“安全评 价检测检验机构有下列情形之一的，责令改正或者责令限期 改正，给予警告，可以并处一万元以下的罚款；逾期未改正 的，处一万元以上三万元以下的罚款，对相关责任人处一千 元以上五千元以下的罚款；情节严重的，处一万元以上三万 元以下的罚款，对相关责任人处五千元以上一万元以下的罚 款：（二）违反法规标准规定更改或者简化安全评价、检测 检验程序和相关内容的。”</t>
  </si>
  <si>
    <t>3200-B-10600-140602</t>
  </si>
  <si>
    <t>对未按规定公 开安全评价报 告、安全生产 检测检验报告 相关信息及现 场勘验图像影 像资料的处罚</t>
  </si>
  <si>
    <t>【部门规章】《安全评价检测检验机构管理办法》（2018 年6月19日公布 应急管理部令第1号）第三十条：“安全评 价检测检验机构有下列情形之一的，责令改正或者责令限期 改正，给予警告，可以并处一万元以下的罚款；逾期未改正 的，处一万元以上三万元以下的罚款，对相关责任人处一千 元以上五千元以下的罚款；情节严重的，处一万元以上三万 元以下的罚款，对相关责任人处五千元以上一万元以下的罚 款：（三）未按规定公开安全评价报告、安全生产检测检验 报告相关信息及现场勘验图像影像资料的。”</t>
  </si>
  <si>
    <t>3200-B-10700-140602</t>
  </si>
  <si>
    <t>对未在开展现 场技术服务前 七 个 工 作 日 内，书面告知 项目实施地资 质认可机关的 处罚</t>
  </si>
  <si>
    <t>【部门规章】《安全评价检测检验机构管理办法》（2018 年6月19日公布 应急管理部令第1号）第三十条：“安全评 价检测检验机构有下列情形之一的，责令改正或者责令限期 改正，给予警告，可以并处一万元以下的罚款；逾期未改正 的，处一万元以上三万元以下的罚款，对相关责任人处一千 元以上五千元以下的罚款；情节严重的，处一万元以上三万 元以下的罚款，对相关责任人处五千元以上一万元以下的罚 款：（四）未在开展现场技术服务前七个工作日内，书面告 知项目实施地资质认可机关的。”</t>
  </si>
  <si>
    <t>3200-B-10800-140602</t>
  </si>
  <si>
    <t>对机构名称、 注册地址、实 验室条件、法 定代表人、专 职技术负责人 、授权签字人 发生变化之日 起三十日内未 向原资质认可 机关提出变更 申请的处罚</t>
  </si>
  <si>
    <t>【部门规章】《安全评价检测检验机构管理办法》（2018 年6月19日公布 应急管理部令第1号）第三十条：“安全评 价检测检验机构有下列情形之一的，责令改正或者责令限期 改正，给予警告，可以并处一万元以下的罚款；逾期未改正 的，处一万元以上三万元以下的罚款，对相关责任人处一千 元以上五千元以下的罚款；情节严重的，处一万元以上三万 元以下的罚款，对相关责任人处五千元以上一万元以下的罚 款：（五）机构名称、注册地址、实验室条件、法定代表人 、专职技术负责人、授权签字人发生变化之日起三十日内未 向原资质认可机关提出变更申请的。”</t>
  </si>
  <si>
    <t>3200-B-10900-140602</t>
  </si>
  <si>
    <t>对未按照有关 法规标准的强 制性规定从事 安全评价、检 测检验活动的 处罚</t>
  </si>
  <si>
    <t>【部门规章】《安全评价检测检验机构管理办法》（2018 年6月19日公布 应急管理部令第1号）第三十条：“安全评 价检测检验机构有下列情形之一的，责令改正或者责令限期 改正，给予警告，可以并处一万元以下的罚款；逾期未改正 的，处一万元以上三万元以下的罚款，对相关责任人处一千 元以上五千元以下的罚款；情节严重的，处一万元以上三万 元以下的罚款，对相关责任人处五千元以上一万元以下的罚 款：（六）未按照有关法规标准的强制性规定从事安全评价 、检测检验活动的。”</t>
  </si>
  <si>
    <t>3200-B-11000-140602</t>
  </si>
  <si>
    <t>对出租、出借 安全评价检测 检验资质证书 的处罚</t>
  </si>
  <si>
    <t>【部门规章】《安全评价检测检验机构管理办法》（2018 年6月19日公布 应急管理部令第1号）第三十条：“安全评 价检测检验机构有下列情形之一的，责令改正或者责令限期 改正，给予警告，可以并处一万元以下的罚款；逾期未改正 的，处一万元以上三万元以下的罚款，对相关责任人处一千 元以上五千元以下的罚款；情节严重的，处一万元以上三万 元以下的罚款，对相关责任人处五千元以上一万元以下的罚 款：（七）出租、出借安全评价检测检验资质证书的。”</t>
  </si>
  <si>
    <t>3200-B-11100-140602</t>
  </si>
  <si>
    <t>对安全评价项 目组组长及负 责勘验人员不 到现场实际地 点开展勘验等 有关工作的处 罚</t>
  </si>
  <si>
    <t>【部门规章】《安全评价检测检验机构管理办法》（2018 年6月19日公布 应急管理部令第1号）第三十条：“安全评 价检测检验机构有下列情形之一的，责令改正或者责令限期 改正，给予警告，可以并处一万元以下的罚款；逾期未改正 的，处一万元以上三万元以下的罚款，对相关责任人处一千 元以上五千元以下的罚款；情节严重的，处一万元以上三万 元以下的罚款，对相关责任人处五千元以上一万元以下的罚 款：（八）安全评价项目组组长及负责勘验人员不到现场实 际地点开展勘验等有关工作的。”</t>
  </si>
  <si>
    <t>3200-B-11200-140602</t>
  </si>
  <si>
    <t>对承担现场检 测检验的人员 不到现场实际 地点开展设备 检测检验等有 关工作的处罚</t>
  </si>
  <si>
    <t>【部门规章】《安全评价检测检验机构管理办法》（2018 年6月19日公布 应急管理部令第1号）第三十条：“安全评 价检测检验机构有下列情形之一的，责令改正或者责令限期 改正，给予警告，可以并处一万元以下的罚款；逾期未改正 的，处一万元以上三万元以下的罚款，对相关责任人处一千 元以上五千元以下的罚款；情节严重的，处一万元以上三万 元以下的罚款，对相关责任人处五千元以上一万元以下的罚 款：（九）承担现场检测检验的人员不到现场实际地点开展 设备检测检验等有关工作的。”</t>
  </si>
  <si>
    <t>3200-B-11300-140602</t>
  </si>
  <si>
    <t>对安全评价报 告存在法规标 准引用错误、 关键危险有害 因素漏项、重 大危险源辨识 错误、对策措 施建议与存在 问题严重不符 等重大疏漏， 但尚未造成重 大损失的处罚</t>
  </si>
  <si>
    <t>【部门规章】《安全评价检测检验机构管理办法》（2018 年6月19日公布 应急管理部令第1号）第三十条：“安全评 价检测检验机构有下列情形之一的，责令改正或者责令限期 改正，给予警告，可以并处一万元以下的罚款；逾期未改正 的，处一万元以上三万元以下的罚款，对相关责任人处一千 元以上五千元以下的罚款；情节严重的，处一万元以上三万 元以下的罚款，对相关责任人处五千元以上一万元以下的罚 款：（十）安全评价报告存在法规标准引用错误、关键危险 有害因素漏项、重大危险源辨识错误、对策措施建议与存在 问题严重不符等重大疏漏，但尚未造成重大损失的。”</t>
  </si>
  <si>
    <t>3200-B-11400-140602</t>
  </si>
  <si>
    <t>对安全生产检 测检验报告存 在法规标准引 用错误、关键 项目漏检、结 论不明确等重 大疏漏，但尚 未造成重大损 失的处罚</t>
  </si>
  <si>
    <t>【部门规章】《安全评价检测检验机构管理办法》（2018 年6月19日公布 应急管理部令第1号）第三十条：“安全评 价检测检验机构有下列情形之一的，责令改正或者责令限期 改正，给予警告，可以并处一万元以下的罚款；逾期未改正 的，处一万元以上三万元以下的罚款，对相关责任人处一千 元以上五千元以下的罚款；情节严重的，处一万元以上三万 元以下的罚款，对相关责任人处五千元以上一万元以下的罚 款：（十一）安全生产检测检验报告存在法规标准引用错误 、关键项目漏检、结论不明确等重大疏漏，但尚未造成重大 损失的。”</t>
  </si>
  <si>
    <t>3200-B-11500-140602</t>
  </si>
  <si>
    <t>对鉴定机构伪 造、篡改数据 或者有其他弄 虚作假行为的 处罚</t>
  </si>
  <si>
    <t>【部门规章】《化学品物理危险性鉴定与分类管理办法》 （2013年7月10日公布 原国家安全监管总局令第60号）第二 十条：“鉴定机构在物理危险性鉴定过程中有下列行为之一 的，处1万元以上3万元以下的罚款；情节严重的，由国家安 全生产监督管理总局从鉴定机构名单中除名并公告：（一） 伪造、篡改数据或者有其他弄虚作假行为的。”</t>
  </si>
  <si>
    <t>3200-B-11600-140602</t>
  </si>
  <si>
    <t>对鉴定机构未 通过安全生产 监督管理部门 的监督检查， 仍从事鉴定工 作的处罚</t>
  </si>
  <si>
    <t>【部门规章】《化学品物理危险性鉴定与分类管理办法》 （2013年7月10日公布 原国家安全监管总局令第60号）第二 十条：“鉴定机构在物理危险性鉴定过程中有下列行为之一 的，处1万元以上3万元以下的罚款；情节严重的，由国家安 全生产监督管理总局从鉴定机构名单中除名并公告：（二） 未通过安全生产监督管理部门的监督检查，仍从事鉴定工作 的。”</t>
  </si>
  <si>
    <t>3200-B-11700-140602</t>
  </si>
  <si>
    <t>对鉴定机构在 物理危险性鉴 定过程中泄露 化学品单位商 业秘密的处罚</t>
  </si>
  <si>
    <t>【部门规章】《化学品物理危险性鉴定与分类管理办法》 （2013年7月10日公布 原国家安全监管总局令第60号）第二 十条：“鉴定机构在物理危险性鉴定过程中有下列行为之一 的，处1万元以上3万元以下的罚款；情节严重的，由国家安 全生产监督管理总局从鉴定机构名单中除名并公告：（三） 泄露化学品单位商业秘密的。”</t>
  </si>
  <si>
    <t>3200-B-11800-140602</t>
  </si>
  <si>
    <t>对安全培训机 构不具备安全 培训条件的处 罚</t>
  </si>
  <si>
    <t>.【部门规章】《安全生产培训管理办法》（2012年1月19 日公布 原国家安全监管总局令第44号，2015年5月29日原国 家安全监管总局令第80号修正）第三十四条：“安全培训机 构有下列情形之一的，责令限期改正，处1万元以下的罚 款；逾期未改正的，给予警告，处1万元以上3万元以下的罚 款：（一）不具备安全培训条件的。”</t>
  </si>
  <si>
    <t>1.【部门规章】《安全生产培训 管理办法》（2012年1月19日公布 原国家安全监管总局令第44号， 2015年5月29日原国家安全监管总 局令第80号修正）第三十三条： “安全生产监督管理部门、煤矿 安全监察机构、煤矿安全培训监 管机构的工作人员在安全培训监 督管理工作中滥用职权、玩忽职 守、徇私舞弊的，依照有关规定 给予处分；构成犯罪的，依法追 究刑事责任。”
2.【其他法律法规规章】《行政处罚法》《行政机关公务员处分条例》《山西省行政执法条例》等规定的追责情形。</t>
  </si>
  <si>
    <t>3200-B-11900-140602</t>
  </si>
  <si>
    <t>对安全培训机 构未按照统一 的培训大纲组 织教学培训的 处罚</t>
  </si>
  <si>
    <t>1.【部门规章】《安全生产培训管理办法》（2012年1月19 日公布 原国家安全监管总局令第44号，2015年5月29日原国 家安全监管总局令第80号修正）第三十四条：“安全培训机 构有下列情形之一的，责令限期改正，处1万元以下的罚 款；逾期未改正的，给予警告，处1万元以上3万元以下的罚 款：（二）未按照统一的培训大纲组织教学培训的。”</t>
  </si>
  <si>
    <t>1.【部门规章】《安全生产培训 管理办法》（2012年1月19日公布 原国家安全监管总局令第44号， 2015年5月29日原国家安全监管总 局令第80号修正）第三十三条： “安全生产监督管理部门、煤矿 安全监察机构、煤矿安全培训监 管机构的工作人员在安全培训监 督管理工作中滥用职权、玩忽职 守、徇私舞弊的，依照有关规定 给予处分；构成犯罪的，依法追 究刑事责任。” 
2.【其他法律法规规章】《行政处罚法》《行政机关公务员处分条例》《山西省行政执法条例》等规定的追责情形。</t>
  </si>
  <si>
    <t>3200-B-12000-140602</t>
  </si>
  <si>
    <t>对安全培训机 构未建立培训 档案或者培训 档案管理不规 范的处罚</t>
  </si>
  <si>
    <t>【部门规章】《安全生产培训管理办法》（2012年1月19 日公布 原国家安全监管总局令第44号，2015年5月29日原国 家安全监管总局令第80号修正）第三十四条：“安全培训机 构有下列情形之一的，责令限期改正，处1万元以下的罚 款；逾期未改正的，给予警告，处1万元以上3万元以下的罚 款：（三）未建立培训档案或者培训档案管理不规范的。”</t>
  </si>
  <si>
    <t>3200-B-12100-140602</t>
  </si>
  <si>
    <t>对安全培训机 构采取不正当 竞争手段，故 意贬低、诋毁 其他安全培训 机构的处罚</t>
  </si>
  <si>
    <t>【部门规章】《安全生产培训管理办法》（2012年1月19 日公布 原国家安全监管总局令第44号，2015年5月29日原国 家安全监管总局令第80号修正）第三十四条：“安全培训机 构采取不正当竞争手段，故意贬低、诋毁其他安全培训机构 的，依照前款规定处罚。”</t>
  </si>
  <si>
    <t>3200-B-12200-140602</t>
  </si>
  <si>
    <t>对未经注册擅 自以注册安全 工程师名义执 业的处罚</t>
  </si>
  <si>
    <t>【部门规章】《注册安全工程师管理规定》（原国家安全 监管总局令第11号，2013年8月19日原国家安全监管总局令 第63号修改）第三十条：“未经注册擅自以注册安全工程师 名义执业的，由县级以上安全生产监督管理部门、有关主管 部门或者煤矿安全监察机构责令其停止违法活动，没收违法 所得，并处三万元以下的罚款；造成损失的，依法承担赔偿 责任。”</t>
  </si>
  <si>
    <t>1.【部门规章】《注册安全工程 师管理规定》（原国家安全监管 总局令第11号，2013年8月19日原 国家安全监管总局令第63号修 改）第三十三条：“在注册工作 中，工作人员有下列行为之一 的，依照有关规定给予行政处 分：（一）利用职务之便，索取 或者收受他人财物或者谋取不正 当利益的； （二）对发现不符合条件的 申请人准予注册的； （三）对符合条件的申请人 不予注册的。”
2.【其他法律法规规章】《行政处罚法》《行政机关公务员处分条例》《山西省行政执法条例》等规定的追责情形。</t>
  </si>
  <si>
    <t>3200-B-12300-140602</t>
  </si>
  <si>
    <t>对注册安全工 程师以欺骗、 贿赂等不正当 手段取得执业 证的处罚</t>
  </si>
  <si>
    <t>【部门规章】《注册安全工程师管理规定》（原国家安全 监管总局令第11号，2013年8月19日原国家安全监管总局令 第63号修改）第三十一条：“注册安全工程师以欺骗、贿赂 等不正当手段取得执业证的，由县级以上安全生产监督管理 部门、有关主管部门或者煤矿安全监察机构处三万元以下的 罚款；由执业证颁发机关撤销其注册，当事人三年内不得再 次申请注册。”</t>
  </si>
  <si>
    <t>3200-B-12400-140602</t>
  </si>
  <si>
    <t>对注册安全工 程师准许他人 以本人名义执 业的处罚</t>
  </si>
  <si>
    <t>【部门规章】《注册安全工程师管理规定》（原国家安全 监管总局令第11号，2013年8月19日原国家安全监管总局令 第63号修改）第三十二条：“注册安全工程师有下列行为之 一的，由县级以上安全生产监督管理部门、有关主管部门或 者煤矿安全监察机构处三万元以下的罚款；由执业证颁发机 关吊销其执业证，当事人五年内不得再次申请注册；造成损 失的，依法承担赔偿责任；构成犯罪的，依法追究刑事责 任：（一）准许他人以本人名义执业的；”</t>
  </si>
  <si>
    <t>1.【部门规章】《注册安全工程 师管理规定》（原国家安全监管 总局令第11号，2013年8月19日原 国家安全监管总局令第63号修 改）第三十三条：“在注册工作 中，工作人员有下列行为之一 的，依照有关规定给予行政处 分：（一）利用职务之便，索取 或者收受他人财物或者谋取不正 当利益的； （二）对发现不符合条件的 申请人准予注册的； （三）对符合条件的申请人 不予注册的。” 
2.【其他法律法规规章】《行政处罚法》《行政机关公务员处分条例》《山西省行政执法条例》等规定的追责情形。</t>
  </si>
  <si>
    <t>3200-B-12500-140602</t>
  </si>
  <si>
    <t>对注册安全工 程师以个人名 义承接业务、 收取费用的处 罚</t>
  </si>
  <si>
    <t>【部门规章】《注册安全工程师管理规定》（原国家安全 监管总局令第11号，2013年8月19日原国家安全监管总局令 第63号修改）第三十二条：“注册安全工程师有下列行为之 一的，由县级以上安全生产监督管理部门、有关主管部门或 者煤矿安全监察机构处三万元以下的罚款；由执业证颁发机 关吊销其执业证，当事人五年内不得再次申请注册；造成损 失的，依法承担赔偿责任；构成犯罪的，依法追究刑事责 任：（二）以个人名义承接业务、收取费用的；”</t>
  </si>
  <si>
    <t>3200-B-12600-140602</t>
  </si>
  <si>
    <t>对注册安全工 程师出租、出 借、涂改、变 造执业证和执 业印章的处罚</t>
  </si>
  <si>
    <t>【部门规章】《注册安全工程师管理规定》（原国家安全 监管总局令第11号，2013年8月19日原国家安全监管总局令 第63号修改）第三十二条：“注册安全工程师有下列行为之 一的，由县级以上安全生产监督管理部门、有关主管部门或 者煤矿安全监察机构处三万元以下的罚款；由执业证颁发机 关吊销其执业证，当事人五年内不得再次申请注册；造成损 失的，依法承担赔偿责任；构成犯罪的，依法追究刑事责 任：（三）出租、出借、涂改、变造执业证和执业印章的；</t>
  </si>
  <si>
    <t>1.【部门规章】《注册安全工程 师管理规定》（原国家安全监管 总局令第11号，2013年8月19日原 国家安全监管总局令第63号修 改）第三十三条：“在注册工作 中，工作人员有下列行为之一 的，依照有关规定给予行政处 分：（一）利用职务之便，索取 或者收受他人财物或者谋取不正 当利益的； （二）对发现不符合条件的 申请人准予注册的； （三）对符合条件的申请人 不予注册的。”
 2.【其他法律法规规章】《行政处罚法》《行政机关公务员处分条例》《山西省行政执法条例》等规定的追责情形。</t>
  </si>
  <si>
    <t>3200-B-12700-140602</t>
  </si>
  <si>
    <t>对注册安全工 程师泄漏执业 过程中应当保 守的秘密并造 成严重后果的 处罚</t>
  </si>
  <si>
    <t>.【部门规章】《注册安全工程师管理规定》（原国家安全 监管总局令第11号，2013年8月19日原国家安全监管总局令 第63号修改）第三十二条：“注册安全工程师有下列行为之 一的，由县级以上安全生产监督管理部门、有关主管部门或 者煤矿安全监察机构处三万元以下的罚款；由执业证颁发机 关吊销其执业证，当事人五年内不得再次申请注册；造成损 失的，依法承担赔偿责任；构成犯罪的，依法追究刑事责 任：（四）泄漏执业过程中应当保守的秘密并造成严重后果 的；”</t>
  </si>
  <si>
    <t>3200-B-12800-140602</t>
  </si>
  <si>
    <t>对注册安全工 程师利用执业 之便，贪污、 索贿、受贿或 者谋取不正当 利益的处罚</t>
  </si>
  <si>
    <t>【部门规章】《注册安全工程师管理规定》（原国家安全 监管总局令第11号，2013年8月19日原国家安全监管总局令 第63号修改）第三十二条：“注册安全工程师有下列行为之 一的，由县级以上安全生产监督管理部门、有关主管部门或 者煤矿安全监察机构处三万元以下的罚款；由执业证颁发机 关吊销其执业证，当事人五年内不得再次申请注册；造成损 失的，依法承担赔偿责任；构成犯罪的，依法追究刑事责 任：（五）利用执业之便，贪污、索贿、受贿或者谋取不正 当利益的；”</t>
  </si>
  <si>
    <t>3200-B-12900-140602</t>
  </si>
  <si>
    <t>对注册安全工 程师提供虚假 执业活动成果 的处罚</t>
  </si>
  <si>
    <t>【部门规章】《注册安全工程师管理规定》（原国家安全 监管总局令第11号，2013年8月19日原国家安全监管总局令 第63号修改）第三十二条：“注册安全工程师有下列行为之 一的，由县级以上安全生产监督管理部门、有关主管部门或 者煤矿安全监察机构处三万元以下的罚款；由执业证颁发机 关吊销其执业证，当事人五年内不得再次申请注册；造成损 失的，依法承担赔偿责任；构成犯罪的，依法追究刑事责 任：（六）提供虚假执业活动成果的；”</t>
  </si>
  <si>
    <t>3200-B-13000-140602</t>
  </si>
  <si>
    <t>对注册安全工 程师超出执业 范围或者聘用 单位业务范围 从事执业活动 的处罚</t>
  </si>
  <si>
    <t>【部门规章】《注册安全工程师管理规定》（原国家安全 监管总局令第11号，2013年8月19日原国家安全监管总局令 第63号修改）第三十二条：“注册安全工程师有下列行为之 一的，由县级以上安全生产监督管理部门、有关主管部门或 者煤矿安全监察机构处三万元以下的罚款；由执业证颁发机 关吊销其执业证，当事人五年内不得再次申请注册；造成损 失的，依法承担赔偿责任；构成犯罪的，依法追究刑事责 任：（七）超出执业范围或者聘用单位业务范围从事执业活 动的；”</t>
  </si>
  <si>
    <t>3200-B-13100-140602</t>
  </si>
  <si>
    <t>对安全设备的 安装、使用、 检测、改造和 报废不符合国 家标准或者行 业标准的处罚</t>
  </si>
  <si>
    <t>【法律】《安全生产法》（2002年6月29日通过，2014年8 月31日修正）第九十六条：“生产经营单位有下列行为之一 的，责令限期改正，可以处五万元以下的罚款；逾期未改正 的，处五万元以上二十万元以下的罚款，对其直接负责的主 管人员和其他直接责任人员处一万元以上二万元以下的罚 款；情节严重的，责令停产停业整顿；构成犯罪的，依照刑 法有关规定追究刑事责任：（二）安全设备的安装、使用、 检测、改造和报废不符合国家标准或者行业标准的；”</t>
  </si>
  <si>
    <t>1.【法律】《安全生产法》 （2002年6月29日通过，2014年8 月31日修正）第八十七条：“负 有安全生产监督管理职责的部门 的工作人员，有下列行为之一 的，给予降级或者撤职的处分； 构成犯罪的，依照刑法有关规定 追究刑事责任： （一）对不符合法定安全生产条 件的涉及安全生产的事项予以批 准或者验收通过的； （四）在监督检查中发现重大事 故隐患，不依法及时处理的。 负有安全生产监督管理职责 的部门的工作人员有前款规定以 外的滥用职权、玩忽职守、徇私 舞弊行为的，依法给予处分；构 成犯罪的，依照刑法有关规定追 究刑事责任。” 
2.【其他法律法规规章】《行政处罚法》《行政机关公务员处分条例》《山西省行政执法条例》等规定的追责情形。</t>
  </si>
  <si>
    <t>3200-B-13200-140602</t>
  </si>
  <si>
    <t>【法律】《安全生产法》（2002年6月29日通过，2014年8 月31日修正）第九十六条：“生产经营单位有下列行为之一 的，责令限期改正，可以处五万元以下的罚款；逾期未改正 的，处五万元以上二十万元以下的罚款，对其直接负责的主 管人员和其他直接责任人员处一万元以上二万元以下的罚 款；情节严重的，责令停产停业整顿；构成犯罪的，依照刑 法有关规定追究刑事责任：（三）未对安全设备进行经常性 维护、保养和定期检测的；”</t>
  </si>
  <si>
    <t>1.【法律】《安全生产法》 （2002年6月29日通过，2014年8 月31日修正）第八十七条：“负 有安全生产监督管理职责的部门 的工作人员，有下列行为之一 的，给予降级或者撤职的处分； 构成犯罪的，依照刑法有关规定 追究刑事责任： （一）对不符合法定安全生产条 件的涉及安全生产的事项予以批 准或者验收通过的； （四）在监督检查中发现重大事 故隐患，不依法及时处理的。 负有安全生产监督管理职责 的部门的工作人员有前款规定以 外的滥用职权、玩忽职守、徇私 舞弊行为的，依法给予处分；构 成犯罪的，依照刑法有关规定追 究刑事责任。”
2.【其他法律法规规章】《行政处罚法》《行政机关公务员处分条例》《山西省行政执法条例》等规定的追责情形。</t>
  </si>
  <si>
    <t>3200-B-13300-140602</t>
  </si>
  <si>
    <t>对使用应当淘 汰的危及生产 安全的工艺、 设备的处罚</t>
  </si>
  <si>
    <t>【法律】《安全生产法》（2002年6月29日通过，2014年8 月31日修正）第九十六条：“生产经营单位有下列行为之一 的，责令限期改正，可以处五万元以下的罚款；逾期未改正 的，处五万元以上二十万元以下的罚款，对其直接负责的主 管人员和其他直接责任人员处一万元以上二万元以下的罚 款；情节严重的，责令停产停业整顿；构成犯罪的，依照刑 法有关规定追究刑事责任：（六）使用应当淘汰的危及生产 安全的工艺、设备的。”</t>
  </si>
  <si>
    <t>1.【法律】《安全生产法》 （2002年6月29日通过，2014年8 月31日修正）第八十七条：“负 有安全生产监督管理职责的部门 的工作人员，有下列行为之一 的，给予降级或者撤职的处分； 构成犯罪的，依照刑法有关规定 追究刑事责任： （一）对不符合法定安全生产条 件的涉及安全生产的事项予以批 准或者验收通过的； （三）对已经依法取得批准的单 位不履行监督管理职责，发现其 不再具备安全生产条件而不撤销 原批准或者发现安全生产违法行 为不予查处的； （四）在监督检查中发现重大事 故隐患，不依法及时处理的。 负有安全生产监督管理职责 的部门的工作人员有前款规定以 外的滥用职权、玩忽职守、徇私 舞弊行为的，依法给予处分；构 成犯罪的，依照刑法有关规定追 究刑事责任。” 2.【其他法律法规规章】《行政处罚法》《行政机关公务员处分条例》《山西省行政执法条例》等规定的追责情形。</t>
  </si>
  <si>
    <t>3200-B-13400-140602</t>
  </si>
  <si>
    <t>对危险物品的 容器、运输工 具，以及涉及 人身安全、危 险性较大的海 洋石油开采特 种设备和矿山 井下特种设备 未经具有专业 资质的机构检 测 、 检 验 合 格，取得安全 使用证或者安 全标志，投入 使用的处罚</t>
  </si>
  <si>
    <t>《中华人民共和国安全生产法》第九十六条：“生产经营单位有下列行为之一 的，责令限期改正，可以处五万元以下的罚款；逾期未改正 的，处五万元以上二十万元以下的罚款，对其直接负责的主 管人员和其他直接责任人员处一万元以上二万元以下的罚 款；情节严重的，责令停产停业整顿；构成犯罪的，依照刑 法有关规定追究刑事责任：（五）危险物品的容器、运输工 具，以及涉及人身安全、危险性较大的海洋石油开采特种设 备和矿山井下特种设备未经具有专业资质的机构检测、检验 合格，取得安全使用证或者安全标志，投入使用的；”</t>
  </si>
  <si>
    <t>1.【法律】《安全生产法》 （2002年6月29日通过，2014年8 月31日修正）第八十七条：“负 有安全生产监督管理职责的部门 的工作人员，有下列行为之一 的，给予降级或者撤职的处分； 构成犯罪的，依照刑法有关规定 追究刑事责任： （三）对已经依法取得批准的单 位不履行监督管理职责，发现其 不再具备安全生产条件而不撤销 原批准或者发现安全生产违法行 为不予查处的；（四）在监督检 查中发现重大事故隐患，不依法 及时处理的。 负有安全生产监督管理职责 的部门的工作人员有前款规定以 外的滥用职权、玩忽职守、徇私 舞弊行为的，依法给予处分；构 成犯罪的，依照刑法有关规定追 究刑事责任。” 
2.【其他法律法规规章】《行政处罚法》《行政机关公务员处分条例》《山西省行政执法条例》等规定的追责情形。</t>
  </si>
  <si>
    <t>3200-B-13500-140602</t>
  </si>
  <si>
    <t>对未根据其生 产、储存的危 险化学品的种 类 和 危 险 特 性，在作业场 所设置相关安 全 设 施 、 设 备，或者未按 照国家标准、 行业标准或者 国家有关规定 对安全设施、 设备进行经常 性维护、保养 的处罚</t>
  </si>
  <si>
    <t>1.【行政法规】《危险化学品安全管理条例》（2002年1月 26日公布 国务院令第344号，2013年12月7日修改）第八十 条：“生产、储存、使用危险化学品的单位有下列情形之一 的，由安全生产监督管理部门责令改正，处5万元以上10万 元以下的罚款；拒不改正的，责令停产停业整顿直至由原发 证机关吊销其相关许可证件，并由工商行政管理部门责令其 办理经营范围变更登记或者吊销其营业执照；有关责任人员 构成犯罪的，依法追究刑事责任：（二）未根据其生产、储 存的危险化学品的种类和危险特性，在作业场所设置相关安 全设施、设备，或者未按照国家标准、行业标准或者国家有 关规定对安全设施、设备进行经常性维护、保养的；”
2.【部门规章】《危险化学品经营许可证管理办法》（2012 年7月17日公布2015年5月27日修正）第三十条：“带有储存 设施的企业违反《危险化学品安全管理条例》规定，有下列 情形之一的，责令改正，处5万元以上10万元以下的罚款； 拒不改正的，责令停产停业整顿；经停产停业整顿仍不具备 法律、法规、规章、国家标准和行业标准规定的安全生产条 件的，吊销其经营许可证：（二）未根据其储存的危险化学 品的种类和危险特性，在作业场所设置相关安全设施、设 备，或者未按照国家标准、行业标准或者国家有关规定对安 全设施、设备进行经常性维护、保养的；”</t>
  </si>
  <si>
    <t>1.【行政法规】《危险化学品安 全管理条例》（2002年1月26日公 布 国务院令第344号，2013年12 月7日修改）第九十六条：“负有 危险化学品安全监督管理职责的 部门的工作人员，在危险化学品 安全监督管理工作中滥用职权、 玩忽职守、徇私舞弊，构成犯罪 的，依法追究刑事责任；尚不构 成犯罪的，依法给予处分。”
2.【其他法律法规规章】《行政处罚法》《行政机关公务员处分条例》《山西省行政执法条例》等规定的追责情形。</t>
  </si>
  <si>
    <t>3200-B-13600-140602</t>
  </si>
  <si>
    <t>对生产、储存 危险化学品的 单位未在作业 场所设置通信 、报警装置的 处罚</t>
  </si>
  <si>
    <t>【行政法规】《危险化学品安全管理条例》（2002年1月 26日公布 国务院令第344号，2013年12月7日修改）第七十 八条：“有下列情形之一的，由安全生产监督管理部门责令 改正，可以处5万元以下的罚款；拒不改正的，处5万元以上 10万元以下的罚款；情节严重的，责令停产停业整顿： （八）生产、储存危险化学品的单位未在作业场所和安全设 施、设备上设置明显的安全警示标志，或者未在作业场所设 置通信、报警装置的；”</t>
  </si>
  <si>
    <t>3200-B-13700-140602</t>
  </si>
  <si>
    <t>对未对危险化 学品专用仓库 的安全设施、 设备定期进行 检测、检验的 处罚</t>
  </si>
  <si>
    <t>1.【行政法规】《危险化学品安全管理条例》（2002年1月 26日公布 国务院令第344号，2013年12月7日修改）第八十 条：“生产、储存、使用危险化学品的单位有下列情形之一 的，由安全生产监督管理部门责令改正，处5万元以上10万 元以下的罚款；拒不改正的，责令停产停业整顿直至由原发 证机关吊销其相关许可证件，并由工商行政管理部门责令其 办理经营范围变更登记或者吊销其营业执照；有关责任人员 构成犯罪的，依法追究刑事责任：（七）未对危险化学品专 用仓库的安全设施、设备定期进行检测、检验的。” 2.【部门规章】《危险化学品经营许可证管理办法》（2012 年7月17日公布2015年5月27日修正）第三十条：“带有储存 设施的企业违反《危险化学品安全管理条例》规定，有下列 情形之一的，责令改正，处5万元以上10万元以下的罚款； 拒不改正的，责令停产停业整顿；经停产停业整顿仍不具备 法律、法规、规章、国家标准和行业标准规定的安全生产条 件的，吊销其经营许可证：（七）未对危险化学品专用仓库 的安全设施、设备定期进行检测、检验的。”</t>
  </si>
  <si>
    <t>3200-B-13800-140602</t>
  </si>
  <si>
    <t>对危险化学品 建设项目安全 设施竣工后未 进行检验、检 测的处罚</t>
  </si>
  <si>
    <t>【部门规章】《危险化学品建设项目安全监督管理办法》 （2012年1月30日公布 原国家安全监管总局令第45号，2015 年5月27日原国家安全监管总局令第79号修正）第三十七 条：“建设单位有下列行为之一的，责令改正，可以处1万 元以下的罚款；逾期未改正的，处1万元以上3万元以下的罚 款：（一）建设项目安全设施竣工后未进行检验、检测的；</t>
  </si>
  <si>
    <t>1.【部门规章】《危险化学品建 设项目安全监督管理办法》 （2012年1月30日公布 原国家安 全监管总局令第45号，2015年5月 27日原国家安全监管总局令第79 号修正）第三十四条：“安全生 产监督管理部门工作人员徇私舞 弊、滥用职权、玩忽职守，未依 法履行危险化学品建设项目安全 审查和监督管理职责的，依法给 予处分。”
 2.【其他法律法规规章】《行政处罚法》《行政机关公务员处分条例》《山西省行政执法条例》等规定的追责情形。</t>
  </si>
  <si>
    <t>3200-B-13900-140602</t>
  </si>
  <si>
    <t>对危险化学品 使用企业改变 工艺技术对企 业的安全生产 条件产生重大 影响，未提出 变更申请，继 续从事生产的 处罚</t>
  </si>
  <si>
    <t>【部门规章】《危险化学品安全使用许可证实施办法》 （2012年11月16日公布 原国家安全监管总局令第57号， 2017年3月6日原国家安全监管总局令第89号修正）第四十 条：“企业在安全使用许可证有效期内有下列情形之一，未 按照本办法第二十五条的规定提出变更申请，继续从事生产 的，责令限期改正，处1万元以上3万元以下的罚款：（三） 改变工艺技术对企业的安全生产条件产生重大影响的。”</t>
  </si>
  <si>
    <t>1.【部门规章】《危险化学品安 全使用许可证实施办法》（2012 年11月16日公布 原国家安全监管 总局令第57号，2017年3月6日原 国家安全监管总局令第89号修 正）第三十六条：“发证机关工 作人员在对危险化学品使用许可 证的颁发管理工作中滥用职权、 玩忽职守、徇私舞弊，构成犯罪 的，依法追究刑事责任；尚不构 成犯罪的，依法给予处分。”
2.【其他法律法规规章】《监察 法【其他法律法规规章】《行政处罚法》《行政机关公务员处分条例》《山西省行政执法条例》等规定的追责情形。</t>
  </si>
  <si>
    <t>3200-B-14000-140602</t>
  </si>
  <si>
    <t>对生产、储存 危险化学品的 单位未对危险 化学品管道定 期检查、检测 的处罚</t>
  </si>
  <si>
    <t>【行政法规】《危险化学品安全管理条例》（2002年1月 26日公布 国务院令第344号，2013年12月7日修改）第七十 八条：“有下列情形之一的，由安全生产监督管理部门责令 改正，可以处5万元以下的罚款；拒不改正的，处5万元以上 10万元以下的罚款；情节严重的，责令停产停业整顿： （一）生产、储存危险化学品的单位未对其铺设的危险化学 品管道设置明显的标志，或者未对危险化学品管道定期检查 、检测的；”</t>
  </si>
  <si>
    <t>3200-B-14100-140602</t>
  </si>
  <si>
    <t>对管道单位未 按照《危险化 学品输送管道 安全管理规定 》对管道进行 检测、维护的 处罚</t>
  </si>
  <si>
    <t>【部门规章】《危险化学品输送管道安全管理规定》 （2012年1月17日公布 原国家安全监管总局令第43号，2015 年5月27日原国家安全监管总局令第79号修正）第三十五 条：“有下列情形之一的，由安全生产监督管理部门责令改 正，可以处5万元以下的罚款；拒不改正的，处5万元以上10 万元以下的罚款；情节严重的，责令停产停业整顿。（一） 管道单位未按照本规定对管道进行检测、维护的；”</t>
  </si>
  <si>
    <t>3200-B-14200-140602</t>
  </si>
  <si>
    <t>对危险化学品 单位未按照《 危险化学品重 大危险源监督 管理暂行规定 》要求对重大 危险源进行安 全评估或者安 全评价的处罚</t>
  </si>
  <si>
    <t>1.【部门规章】《危险化学品重大危险源监督管理暂行规定 》（2011年8月5日原国家安全监管总局令第40号公布，2015 年5月27日原国家安全监管总局令第79号修正）第三十二 条：“危险化学品单位有下列行为之一的，由县级以上人民 政府安全生产监督管理部门责令限期改正，可以处10万元以 下的罚款；逾期未改正的，责令停产停业整顿，并处10万元 以上20万元以下的罚款，对其直接负责的主管人员和其他直 接责任人员处2万元以上5万元以下的罚款；构成犯罪的，依 照刑法有关规定追究刑事责任：（一）未按照本规定要求对 重大危险源进行安全评估或者安全评价的；”</t>
  </si>
  <si>
    <t>3200-B-14300-140602</t>
  </si>
  <si>
    <t>对对重大危险 源未登记建档 的处罚</t>
  </si>
  <si>
    <t>1.【法律】《安全生产法》（2002年6月29日通过，2014年8 月31日修正）第九十八条：“生产经营单位有下列行为之一 的，责令限期改正，可以处十万元以下的罚款；逾期未改正 的，责令停产停业整顿，并处十万元以上二十万元以下的罚 款，对其直接负责的主管人员和其他直接责任人员处二万元 以上五万元以下的罚款；构成犯罪的，依照刑法有关规定追 究刑事责任：（二）对重大危险源未登记建档，或者未进行 评估、监控，或者未制定应急预案的；”
 2.【部门规章】《危险化学品重大危险源监督管理暂行规定 》（2011年8月5日原国家安全监管总局令第40号公布，2015 年5月27日原国家安全监管总局令第79号修正）第三十二 条：“危险化学品单位有下列行为之一的，由县级以上人民 政府安全生产监督管理部门责令限期改正，可以处10万元以 下的罚款；逾期未改正的，责令停产停业整顿，并处10万元 以上20万元以下的罚款，对其直接负责的主管人员和其他直 接责任人员处2万元以上5万元以下的罚款；构成犯罪的，依 照刑法有关规定追究刑事责任：（二）未按照本规定要求对 重大危险源进行登记建档的；”</t>
  </si>
  <si>
    <t>3200-B-14400-140602</t>
  </si>
  <si>
    <t>对对重大危险 源未进行评估 、监控的处罚</t>
  </si>
  <si>
    <t>1.【法律】《安全生产法》（2002年6月29日通过，2014年8 月31日修正）第九十八条：“生产经营单位有下列行为之一 的，责令限期改正，可以处十万元以下的罚款；逾期未改正 的，责令停产停业整顿，并处十万元以上二十万元以下的罚 款，对其直接负责的主管人员和其他直接责任人员处二万元 以上五万元以下的罚款；构成犯罪的，依照刑法有关规定追 究刑事责任：（二）对重大危险源未登记建档，或者未进行 评估、监控，或者未制定应急预案的；” 2.【部门规章】《危险化学品重大危险源监督管理暂行规定 》（2011年8月5日原国家安全监管总局令第40号公布，2015 年5月27日原国家安全监管总局令第79号修正）第三十二 条：“危险化学品单位有下列行为之一的，由县级以上人民 政府安全生产监督管理部门责令限期改正，可以处10万元以 下的罚款；逾期未改正的，责令停产停业整顿，并处10万元 以上20万元以下的罚款，对其直接负责的主管人员和其他直 接责任人员处2万元以上5万元以下的罚款；构成犯罪的，依 照刑法有关规定追究刑事责任：（三）未按照本规定及相关 标准要求对重大危险源进行安全监测监控的； ”</t>
  </si>
  <si>
    <t>3200-B-14500-140602</t>
  </si>
  <si>
    <t>对对重大危险 源未制定应急 预案的处罚</t>
  </si>
  <si>
    <t>1.【法律】《安全生产法》（2002年6月29日通过，2014年8 月31日修正）第九十八条：“生产经营单位有下列行为之一 的，责令限期改正，可以处十万元以下的罚款；逾期未改正 的，责令停产停业整顿，并处十万元以上二十万元以下的罚 款，对其直接负责的主管人员和其他直接责任人员处二万元 以上五万元以下的罚款；构成犯罪的，依照刑法有关规定追 究刑事责任：（二）对重大危险源未登记建档，或者未进行 评估、监控，或者未制定应急预案的；” 2.【部门规章】《危险化学品重大危险源监督管理暂行规定 》（2011年8月5日原国家安全监管总局令第40号公布，2015 年5月27日原国家安全监管总局令第79号修正）第三十二 条：“危险化学品单位有下列行为之一的，由县级以上人民 政府安全生产监督管理部门责令限期改正，可以处10万元以 下的罚款；逾期未改正的，责令停产停业整顿，并处10万元 以上20万元以下的罚款，对其直接负责的主管人员和其他直 接责任人员处2万元以上5万元以下的罚款；构成犯罪的，依 照刑法有关规定追究刑事责任：（四）未制定重大危险源事 故应急预案的。”</t>
  </si>
  <si>
    <t>3200-B-14600-140602</t>
  </si>
  <si>
    <t>对危险化学品 单位未在构成 重大危险源的 场所设置明显 的安全警示标 志的处罚</t>
  </si>
  <si>
    <t>【部门规章】《危险化学品重大危险源监督管理暂行规定 》（2011年8月5日原国家安全监管总局令第40号公布，2015 年5月27日原国家安全监管总局令第79号修正）第三十三 条：“危险化学品单位有下列行为之一的，由县级以上人民 政府安全生产监督管理部门责令限期改正，可以处５万元以 下的罚款；逾期未改正的，处5万元以上20万元以下的罚 款，对其直接负责的主管人员和其他直接责任人员处1万元 以上2万元以下的罚款；情节严重的，责令停产停业整顿； 构成犯罪的，依照刑法有关规定追究刑事责任：（一）未在构成重大危险源的场所设置明显的安全警示标志的；”</t>
  </si>
  <si>
    <t>3200-B-14700-140602</t>
  </si>
  <si>
    <t>对危险化学品 单位未对重大 危险源中的设 备、设施等进 行定期检测、 检验的处罚</t>
  </si>
  <si>
    <t>【部门规章】《危险化学品重大危险源监督管理暂行规定 》（2011年8月5日原国家安全监管总局令第40号公布，2015 年5月27日原国家安全监管总局令第79号修正）第三十三 条：“危险化学品单位有下列行为之一的，由县级以上人民 政府安全生产监督管理部门责令限期改正，可以处５万元以 下的罚款；逾期未改正的，处5万元以上20万元以下的罚 款，对其直接负责的主管人员和其他直接责任人员处1万元 以上2万元以下的罚款；情节严重的，责令停产停业整顿； 构成犯罪的，依照刑法有关规定追究刑事责任：（二）未对 重大危险源中的设备、设施等进行定期检测、检验的。”</t>
  </si>
  <si>
    <t>3200-B-14800-140602</t>
  </si>
  <si>
    <t>对危险化学品 单位未按照标 准对重大危险 源进行辨识的 处罚</t>
  </si>
  <si>
    <t>【部门规章】《危险化学品重大危险源监督管理暂行规定 》（2011年8月5日原国家安全监管总局令第40号公布，2015 年5月27日原国家安全监管总局令第79号修正）第三十四 条：“危险化学品单位有下列情形之一的，由县级以上人民 政府安全生产监督管理部门给予警告，可以并处5000元以上 3万元以下的罚款：（一）未按照标准对重大危险源进行辨 识的；”</t>
  </si>
  <si>
    <t>3200-B-14900-140602</t>
  </si>
  <si>
    <t>对危险化学品 单位未按照《 危险化学品重 大危险源监督 管理暂行规定 》明确重大危 险源中关键装 置、重点部位 的责任人或者 责任机构的处 罚</t>
  </si>
  <si>
    <t>【部门规章】《危险化学品重大危险源监督管理暂行规定 》（2011年8月5日原国家安全监管总局令第40号公布，2015 年5月27日原国家安全监管总局令第79号修正）第三十四 条：“危险化学品单位有下列情形之一的，由县级以上人民 政府安全生产监督管理部门给予警告，可以并处5000元以上 3万元以下的罚款：（二）未按照本规定明确重大危险源中 关键装置、重点部位的责任人或者责任机构的；”</t>
  </si>
  <si>
    <t>3200-B-15000-140602</t>
  </si>
  <si>
    <t>对危险化学品 单位未按照《 危险化学品重 大危险源监督 管理暂行规定 》建立应急救 援组织或者配 备应急救援人 员，以及配备 必要的防护装 备及器材、设 备、物资，并 保障其完好的 处罚</t>
  </si>
  <si>
    <t>【部门规章】《危险化学品重大危险源监督管理暂行规定 》（2011年8月5日原国家安全监管总局令第40号公布，2015 年5月27日原国家安全监管总局令第79号修正）第三十四 条：“危险化学品单位有下列情形之一的，由县级以上人民 政府安全生产监督管理部门给予警告，可以并处5000元以上 3万元以下的罚款：（三）未按照本规定建立应急救援组织 或者配备应急救援人员，以及配备必要的防护装备及器材、 设备、物资，并保障其完好的；”</t>
  </si>
  <si>
    <t>3200-B-15100-140602</t>
  </si>
  <si>
    <t>对危险化学品 单位未按照《 危险化学品重 大危险源监督 管理暂行规定 》进行重大危 险源备案或者 核销的处罚</t>
  </si>
  <si>
    <t>【部门规章】《危险化学品重大危险源监督管理暂行规定 》（2011年8月5日原国家安全监管总局令第40号公布，2015 年5月27日原国家安全监管总局令第79号修正）第三十四 条：“危险化学品单位有下列情形之一的，由县级以上人民 政府安全生产监督管理部门给予警告，可以并处5000元以上 3万元以下的罚款：（四）未按照本规定进行重大危险源备 案或者核销的；”</t>
  </si>
  <si>
    <t>3200-B-15200-140602</t>
  </si>
  <si>
    <t>对危险化学品 单位未将重大 危险源可能引 发的事故后果 、应急措施等 信息告知可能 受影响的单位 、区域及人员 的处罚</t>
  </si>
  <si>
    <t>【部门规章】《危险化学品重大危险源监督管理暂行规定 》（2011年8月5日原国家安全监管总局令第40号公布，2015 年5月27日原国家安全监管总局令第79号修正）第三十四 条：“危险化学品单位有下列情形之一的，由县级以上人民 政府安全生产监督管理部门给予警告，可以并处5000元以上 3万元以下的罚款：（五）未将重大危险源可能引发的事故 后果、应急措施等信息告知可能受影响的单位、区域及人员 的；”</t>
  </si>
  <si>
    <t>3200-B-15300-140602</t>
  </si>
  <si>
    <t>对危险化学品 单位未按照《 危险化学品重 大危险源监督 管理暂行规定 》要求开展重 大危险源事故 应急预案演练 的处罚</t>
  </si>
  <si>
    <t>【部门规章】《危险化学品重大危险源监督管理暂行规定 》（2011年8月5日原国家安全监管总局令第40号公布，2015 年5月27日原国家安全监管总局令第79号修正）第三十四 条：“危险化学品单位有下列情形之一的，由县级以上人民 政府安全生产监督管理部门给予警告，可以并处5000元以上 3万元以下的罚款：（六）未按照本规定要求开展重大危险 源事故应急预案演练的。”</t>
  </si>
  <si>
    <t>3200-B-15400-140602</t>
  </si>
  <si>
    <t>对危险化学品 生产企业未提 供化学品安全 技术说明书， 或者未在包装 （包括外包装 件）上粘贴、 拴挂化学品安 全标签的处罚</t>
  </si>
  <si>
    <t>【行政法规】《危险化学品安全管理条例》（2002年1月 26日公布 国务院令第344号，2013年12月7日修改）第七十 八条：“有下列情形之一的，由安全生产监督管理部门责令 改正，可以处5万元以下的罚款；拒不改正的，处5万元以上 10万元以下的罚款；情节严重的，责令停产停业整顿： （三）危险化学品生产企业未提供化学品安全技术说明书， 或者未在包装（包括外包装件）上粘贴、拴挂化学品安全标 签的；”</t>
  </si>
  <si>
    <t>3200-B-15500-140602</t>
  </si>
  <si>
    <t>对危险化学品 生产企业提供 的化学品安全 技术说明书与 其生产的危险 化 学 品 不 相 符，或者在包 装（包括外包 装件）粘贴、 拴挂的化学品 安全标签与包 装内危险化学 品不相符，或 者化学品安全 技术说明书、 化学品安全标 签所载明的内 容不符合国家 标准要求的处 罚</t>
  </si>
  <si>
    <t>【行政法规】《危险化学品安全管理条例》（2002年1月 26日公布 国务院令第344号，2013年12月7日修改）第七十 八条：“有下列情形之一的，由安全生产监督管理部门责令 改正，可以处5万元以下的罚款；拒不改正的，处5万元以上 10万元以下的罚款；情节严重的，责令停产停业整顿： （四）危险化学品生产企业提供的化学品安全技术说明书与 其生产的危险化学品不相符，或者在包装（包括外包装件） 粘贴、拴挂的化学品安全标签与包装内危险化学品不相符， 或者化学品安全技术说明书、化学品安全标签所载明的内容 不符合国家标准要求的；”</t>
  </si>
  <si>
    <t>3200-B-15600-140602</t>
  </si>
  <si>
    <t>对危险化学品 生产企业发现 其生产的危险 化学品有新的 危险特性不立 即公告，或者 不及时修订其 化学品安全技 术说明书和化 学品安全标签 的处罚</t>
  </si>
  <si>
    <t>【行政法规】《危险化学品安全管理条例》（2002年1月 26日公布 国务院令第344号，2013年12月7日修改）第七十 八条：“有下列情形之一的，由安全生产监督管理部门责令 改正，可以处5万元以下的罚款；拒不改正的，处5万元以上 10万元以下的罚款；情节严重的，责令停产停业整顿： （五）危险化学品生产企业发现其生产的危险化学品有新的 危险特性不立即公告，或者不及时修订其化学品安全技术说 明书和化学品安全标签的；”</t>
  </si>
  <si>
    <t>3200-B-15700-140602</t>
  </si>
  <si>
    <t>对危险化学品 经营企业经营 没有化学品安 全技术说明书 和化学品安全 标签的危险化 学品的处罚</t>
  </si>
  <si>
    <t>【行政法规】《危险化学品安全管理条例》（2002年1月 26日公布 国务院令第344号，2013年12月7日修改）第七十 八条：“有下列情形之一的，由安全生产监督管理部门责令 改正，可以处5万元以下的罚款；拒不改正的，处5万元以上 10万元以下的罚款；情节严重的，责令停产停业整顿： （六）危险化学品经营企业经营没有化学品安全技术说明书 和化学品安全标签的危险化学品的；”</t>
  </si>
  <si>
    <t>3200-B-15800-140602</t>
  </si>
  <si>
    <t>对危险化学品 包装物、容器 的材质以及包 装的型式、规 格、方法和单 件 质 量 （ 重 量）与所包装 的危险化学品 的性质和用途 不相适应的处 罚</t>
  </si>
  <si>
    <t>1.【行政法规】《危险化学品安全管理条例》（2002年1月 26日公布 国务院令第344号，2013年12月7日修改）第七十 八条：“有下列情形之一的，由安全生产监督管理部门责令 改正，可以处5万元以下的罚款；拒不改正的，处5万元以上 10万元以下的罚款；情节严重的，责令停产停业整顿： （七）危险化学品包装物、容器的材质以及包装的型式、规 格、方法和单件质量（重量）与所包装的危险化学品的性质 和用途不相适应的；”</t>
  </si>
  <si>
    <t>3200-B-15900-140602</t>
  </si>
  <si>
    <t>对对重复使用 的危险化学品 包 装 物 、 容 器，在重复使 用前不进行检 查的处罚</t>
  </si>
  <si>
    <t>1.【行政法规】《危险化学品安全管理条例》（2002年1月 26日公布 国务院令第344号，2013年12月7日修改）第八十 条：“生产、储存、使用危险化学品的单位有下列情形之一 的，由安全生产监督管理部门责令改正，处5万元以上10万 元以下的罚款；拒不改正的，责令停产停业整顿直至由原发 证机关吊销其相关许可证件，并由工商行政管理部门责令其 办理经营范围变更登记或者吊销其营业执照；有关责任人员 构成犯罪的，依法追究刑事责任： （二）未根据其生产、储存的危险化学品的种类和危险特 性，在作业场所设置相关安全设施、设备，或者未按照国家 标准、行业标准或者国家有关规定对安全设施、设备进行经 常性维护、保养的；” 
2.【部门规章】《危险化学品经营许可证管理办法》（2012 年7月17日公布2015年5月27日修正）第三十条：“带有储存 设施的企业违反《危险化学品安全管理条例》规定，有下列 情形之一的，责令改正，处5万元以上10万元以下的罚款； 拒不改正的，责令停产停业整顿；经停产停业整顿仍不具备 法律、法规、规章、国家标准和行业标准规定的安全生产条 件的，吊销其经营许可证： （一）对重复使用的危险化学品包装物、容器，在重复使用 前不进行检查的；”</t>
  </si>
  <si>
    <t>3200-B-16000-140602</t>
  </si>
  <si>
    <t>对易制毒化学 品的产品包装 和使用说明书 不符合《易制 毒化学品管理 条例》规定要 求的处罚</t>
  </si>
  <si>
    <t>1.【行政法规】《易制毒化学品管理条例》（国务院令第 445号 2016年2月6日国务院令第666号修改）第四十条：“ 违反本条例规定，有下列行为之一的，由负有监督管理职责 的行政主管部门给予警告，责令限期改正，处1万元以上5万 元以下的罚款；对违反规定生产、经营、购买的易制毒化学 品可以予以没收；逾期不改正的，责令限期停产停业整顿； 逾期整顿不合格的，吊销相应的许可证： （一）易制毒 化学品生产、经营、购买、运输或者进口、出口单位未按规 定建立安全管理制度的；”
2.【部门规章】《非药品类易制毒化学品生产、经营许可办 法》（2006年4月5日总局令第5号公布）第三十条：“对于 有下列行为之一的，由县级以上人民政府安全生产监督管理 部门给予警告，责令限期改正，处1万元以上5万元以下的罚 款；对违反规定生产、经营的非药品类易制毒化学品，可以 予以没收；逾期不改正的，责令限期停产停业整顿；逾期整 顿不合格的，吊销相应的许可证：（四）易制毒化学品的产 品包装和使用说明书不符合《条例》规定要求的；”</t>
  </si>
  <si>
    <t>1.【行政法规】《易制毒化学品 管理条例》（2018年修订，国家安全监管总局令第445号 2016年2月6日国务院令第666号修 改）第四十三条：“易制毒化学 品行政主管部门工作人员在管理 工作中有应当许可而不许可、不 应当许可而滥许可，不依法受理 备案，以及其他滥用职权、玩忽 职守、徇私舞弊行为的，依法给 予行政处分；构成犯罪的，依法 追究刑事责任。” 
2.【部门规章】《非药品类易制 毒化学品生产、经营许可办法》 （2006年4月5日总局令第5号公 布）第三十二条：“安全生产监 督管理部门工作人员在管理工作 中，有滥用职权、玩忽职守、徇 私舞弊行为或泄露企业商业秘密 的，依法给予行政处分；构成犯 罪的，依法追究刑事责任。”
3.【其他法律法规规章】《行政处罚法》《行政机关公务员处分条例》《山西省行政执法条例》等规定的追责情形。</t>
  </si>
  <si>
    <t>3200-B-16100-140602</t>
  </si>
  <si>
    <t>对危险化学品 生产企业、进 口企业不办理 危险化学品登 记，登记品种 发生变化或者 发现其生产的 危险化学品有 新的危险特性 不办理危险化 学品登记内容 变更手续的处 罚</t>
  </si>
  <si>
    <t>1.【行政法规】《危险化学品安全管理条例》（2002年1月 26日公布 国务院令第344号，2013年12月7日修改）第七十 八条：“有下列情形之一的，由安全生产监督管理部门责令 改正，可以处5万元以下的罚款；拒不改正的，处5万元以上 10万元以下的罚款；情节严重的，责令停产停业整顿：（十 二）危险化学品生产企业、进口企业不办理危险化学品登 记，或者发现其生产、进口的危险化学品有新的危险特性不 办理危险化学品登记内容变更手续的。” 
2.【部门规章】《危险化学品登记管理办法》（2012年7月1 日原国家安全监管总局令第53号公布）第二十九条：“登记 企业不办理危险化学品登记，登记品种发生变化或者发现其 生产、进口的危险化学品有新的危险特性不办理危险化学品 登记内容变更手续的，责令改正，可以处5万元以下的罚 款；拒不改正的，处5万元以上10万元以下的罚款；情节严 重的，责令停产停业整顿。”</t>
  </si>
  <si>
    <t>1.【行政法规】《危险化学品安 全管理条例》（2002年1月26日公 布 国务院令第344号，2013年12 月7日修改）第九十六条：“负有 危险化学品安全监督管理职责的 部门的工作人员，在危险化学品 安全监督管理工作中滥用职权、 玩忽职守、徇私舞弊，构成犯罪 的，依法追究刑事责任；尚不构 成犯罪的，依法给予处分。” 
2.【部门规章】《危险化学品登 记管理办法》（2012年7月1日原 国家安全监管总局令第53号公 布）第二十八条：“登记机构的 登记人员违规操作、弄虚作假、 滥发证书，在规定限期内无故不 予登记且无明确答复，或者泄露 登记企业商业秘密的，责令改 正，并追究有关责任人员的责任 。”
3.【其他法律法规规章】《行政处罚法》《行政机关公务员处分条例》《山西省行政执法条例》等规定的追责情形。</t>
  </si>
  <si>
    <t>3200-B-16200-140602</t>
  </si>
  <si>
    <t>对登记企业未 向用户提供应 急咨询服务或 者应急咨询服 务不符合《危 险化学品登记 管理办法》第 二十二条规定 的处罚</t>
  </si>
  <si>
    <t>【部门规章】《危险化学品登记管理办法》（2012年7月1 日原国家安全监管总局令第53号公布）第三十条：“登记企 业有下列行为之一的，责令改正，可以处3万元以下的罚 款：（一）未向用户提供应急咨询服务或者应急咨询服务不 符合本办法第二十二条规定的；”</t>
  </si>
  <si>
    <t>1.【部门规章】《危险化学品登 记管理办法》（2012年7月1日原 国家安全监管总局令第53号公 布）第二十八条：“登记机构的 登记人员违规操作、弄虚作假、 滥发证书，在规定限期内无故不 予登记且无明确答复，或者泄露 登记企业商业秘密的，责令改 正，并追究有关责任人员的责任 。”
2.【其他法律法规规章】《行政处罚法》《行政机关公务员处分条例》《山西省行政执法条例》等规定的追责情形。</t>
  </si>
  <si>
    <t>3200-B-16300-140602</t>
  </si>
  <si>
    <t>对登记企业在 危险化学品登 记证有效期内 企业名称、注 册地址、应急 咨询服务电话 发生变化，未 按规定按时办 理危险化学品 登记变更手续 的处罚</t>
  </si>
  <si>
    <t>【部门规章】《危险化学品登记管理办法》（2012年7月1 日原国家安全监管总局令第53号公布）第三十条：“登记企 业有下列行为之一的，责令改正，可以处3万元以下的罚 款：（二）在危险化学品登记证有效期内企业名称、注册地 址、应急咨询服务电话发生变化，未按规定按时办理危险化 学品登记变更手续的；”</t>
  </si>
  <si>
    <t>3200-B-16400-140602</t>
  </si>
  <si>
    <t>对登记企业危 险化学品登记 证 有 效 期 满 后，未按规定 申 请 复 核 换 证，继续进行 生产或者进口 的处罚</t>
  </si>
  <si>
    <t>【部门规章】《危险化学品登记管理办法》（2012年7月1 日原国家安全监管总局令第53号公布）第三十条：“登记企 业有下列行为之一的，责令改正，可以处3万元以下的罚 款：（三）危险化学品登记证有效期满后，未按规定申请复 核换证，继续进行生产或者进口的；”</t>
  </si>
  <si>
    <t>3200-B-16500-140602</t>
  </si>
  <si>
    <t>对登记企业转 让、冒用或者 使用伪造的危 险化学品登记 证，或者不如 实填报登记内 容、提交有关 材料的处罚</t>
  </si>
  <si>
    <t>【部门规章】《危险化学品登记管理办法》（2012年7月1 日原国家安全监管总局令第53号公布）第三十条：“登记企 业有下列行为之一的，责令改正，可以处3万元以下的罚 款：（四）转让、冒用或者使用伪造的危险化学品登记证， 或者不如实填报登记内容、提交有关材料的。”</t>
  </si>
  <si>
    <t>3200-B-16600-140602</t>
  </si>
  <si>
    <t>对化学品单位 未按照《化学 品物理危险性 鉴定与分类管 理办法》规定 对化学品进行 物理危险性鉴 定或者分类的 处罚</t>
  </si>
  <si>
    <t>【部门规章】《化学品物理危险性鉴定与分类管理办法》 （2013年7月10日公布 原国家安全监管总局令第60号）第十 九条：“化学品单位有下列情形之一的，由安全生产监督管 理部门责令限期改正，可以处1万元以下的罚款；拒不改正 的，处1万元以上3万元以下的罚款：（一）未按照本办法规 定对化学品进行物理危险性鉴定或者分类的；”</t>
  </si>
  <si>
    <t>3200-B-16700-140602</t>
  </si>
  <si>
    <t>对化学品单位 在办理化学品 物理危险性的 鉴定过程中， 隐瞒化学品的 危险性成分、 含量等相关信 息或者提供虚 假材料的处罚</t>
  </si>
  <si>
    <t>【部门规章】《化学品物理危险性鉴定与分类管理办法》 （2013年7月10日公布 原国家安全监管总局令第60号）第十 九条：“化学品单位有下列情形之一的，由安全生产监督管 理部门责令限期改正，可以处1万元以下的罚款；拒不改正 的，处1万元以上3万元以下的罚款：（三）在办理化学品物 理危险性的鉴定过程中，隐瞒化学品的危险性成分、含量等 相关信息或者提供虚假材料的。”</t>
  </si>
  <si>
    <t>3200-B-16800-140602</t>
  </si>
  <si>
    <t>对生产经营单 位重大事故隐 患不报或者未 及时报告的处 罚</t>
  </si>
  <si>
    <t>【部门规章】《安全生产事故隐患排查治理暂行规定》 （2007年12月原国家安全监管总局令第16号）第二十六条： “生产经营单位违反本规定,有下列行为之一的,由安全监管 监察部门给予警告，并处三万元以下的罚款：（四）重大事 故隐患不报或者未及时报告的。”</t>
  </si>
  <si>
    <t>1.【部门规章】《安全生产事故 隐患排查治理暂行规定》（2007 年12月原国家安全监管总局令第 16号）第二十九条：“安全监管 监察部门的工作人员未依法履行 职责的，按照有关规定处理。”
2.【其他法律法规规章】《行政处罚法》《行政机关公务员处分条例》《山西省行政执法条例》等规定的追责情形。</t>
  </si>
  <si>
    <t>3200-B-16900-140602</t>
  </si>
  <si>
    <t>对未向从业人 员通报的事故 隐患排查治理 情况的的处罚</t>
  </si>
  <si>
    <t>【法律】《安全生产法》（2002年6月通过，2014年8月修 正）第九十四条：“生产经营单位有下列行为之一的，责令 限期改正，可以处五万元以下的罚款；逾期未改正的，责令 停产停业整顿，并处五万元以上十万元以下的罚款，对其直 接负责的主管人员和其他直接责任人员处一万元以上二万元 以下的罚款：（五）未将事故隐患排查治理情况如实记录或 者未向从业人员通报的。”</t>
  </si>
  <si>
    <t>1.【法律】《安全生产法》 （2002年6月通过，2014年8月修 正）第八十七条：“负有安全生 产监督管理职责的部门的工作人 员，有下列行为之一的，给予降 级或者撤职的处分；构成犯罪 的，依照刑法有关规定追究刑事 责任：（四）在监督检查中发现 重大事故隐患，不依法及时处理 的。负有安全生产监督管理职责 的部门的工作人员有前款规定以 外的滥用职权、玩忽职守、徇私 舞弊行为的，依法给予处分；构 成犯罪的，依照刑法有关规定追 究刑事责任。”
2.【其他法律法规规章】《行政处罚法》《行政机关公务员处分条例》《山西省行政执法条例》等规定的追责情形。</t>
  </si>
  <si>
    <t>3200-B-17000-140602</t>
  </si>
  <si>
    <t>对未按照规定 如实告知有关 的安全生产事 项的的处罚</t>
  </si>
  <si>
    <t>【法律】《安全生产法》（2002年6月通过，2014年8月修 正）第九十四条：“生产经营单位有下列行为之一的，责令 限期改正，可以处五万元以下的罚款；逾期未改正的，责令 停产停业整顿，并处五万元以上十万元以下的罚款，对其直 接负责的主管人员和其他直接责任人员处一万元以上二万元 以下的罚款：（三）未按照规定对从业人员、被派遣劳动者 、实习学生进行安全生产教育和培训，或者未按照规定如实 告知有关的安全生产事项的。”</t>
  </si>
  <si>
    <t>1.【法律】《安全生产法》 （2002年6月通过，2014年8月修 正）第八十七条：“负有安全生 产监督管理职责的部门的工作人 员，有下列行为之一的，给予降 级或者撤职的处分；构成犯罪 的，依照刑法有关规定追究刑事 责任：（四）在监督检查中发现 重大事故隐患，不依法及时处理 的。负有安全生产监督管理职责 的部门的工作人员有前款规定以 外的滥用职权、玩忽职守、徇私 舞弊行为的，依法给予处分；构 成犯罪的，依照刑法有关规定追 究刑事责任。”
 2.【其他法律法规规章】《行政处罚法》《行政机关公务员处分条例》《山西省行政执法条例》等规定的追责情形。</t>
  </si>
  <si>
    <t>3200-B-17100-140602</t>
  </si>
  <si>
    <t>对易燃易爆物 品、危险化学 品等危险物品 的生产、经营 、储存单位， 矿山、金属冶 炼单位未将生 产安全事故应 急救援预案报 送备案的的处 罚</t>
  </si>
  <si>
    <t>【行政法规】《生产安全事故应急条例》（2018年12月5 日国务院令第708号）第三十二条：“生产经营单位未将生产安全事故应急救援预案报送备案、未建立应急值班制度或 者配备应急值班人员的，由县级以上人民政府负有安全生产 监督管理职责的部门责令限期改正；逾期未改正的，处3万 元以上5万元以下的罚款，对直接负责的主管人员和其他直 接责任人员处1万元以上2万元以下的罚款。”</t>
  </si>
  <si>
    <t>3200-B-17200-140602</t>
  </si>
  <si>
    <t>对事故风险可 能影响周边单 位、人员的， 未将事故风险 的性质、影响 范围和应急防 范措施告知周 边单位和人员 的的处罚</t>
  </si>
  <si>
    <t>【部门规章】《生产安全事故应急预案管理办法》（2016 年6月国家安全生产监督管理总局令第88号） 第四十五条： “生产经营单位有下列情形之一的，由县级以上安全生产监 督管理部门责令限期改正，可以处1万元以上3万元以下罚 款：（三）事故风险可能影响周边单位、人员的，未将事故 风险的性质、影响范围和应急防范措施告知周边单位和人员 的。”</t>
  </si>
  <si>
    <t>3200-B-17300-140602</t>
  </si>
  <si>
    <t>对生产、经营 易制毒化学品 的单位不如实 或者不按时向 安全生产监督 管理部门报告 年度生产、经 营等情况的的 的处罚</t>
  </si>
  <si>
    <t>1.【行政法规】《易制毒化学品管理条例》（国务院令第 445号 2016年2月国务院令第666号修改）第四十三条：“ 易制毒化学品行政主管部门工作人员在管理工作中有……其 他滥用职权、玩忽职守、徇私舞弊行为的，依法给予行政处 分；构成犯罪的，依法追究刑事责任。” 2.【部门规章】《非药品类易制毒化学品生产、经营许可办 法》第三十条：“对于有下列行为之一的，由县级以上人民 政府安全生产监督管理部门给予警告，责令限期改正，处1 万元以上5万元以下的罚款；对违反规定生产、经营的非药 品类易制毒化学品，可以予以没收；逾期不改正的，责令限 期停产停业整顿；逾期整顿不合格的，吊销相应的许可证： （五）生产、经营非药品类易制毒化学品的单位不如实或者 不按时向安全生产监督管理部门报告年度生产、经营等情况 的。”</t>
  </si>
  <si>
    <t>1.【行政法规】《易制毒化学品 管理条例》（2018年修订，国家安全监管总局令第445号 2016年2月国务院令第666号修 改）第四十三条：“易制毒化学 品行政主管部门工作人员在管理 工作中有应当许可而不许可、不 应当许可而滥许可，不依法受理 备案，以及其他滥用职权、玩忽 职守、徇私舞弊行为的，依法给 予行政处分；构成犯罪的，依法 追究刑事责任。”
2.【部门规章】《非药品类易制 毒化学品生产、经营许可办法》 第三十二条：“安全生产监督管 理部门工作人员在管理工作中， 有滥用职权、玩忽职守、徇私舞 弊行为或泄露企业商业秘密的， 依法给予行政处分；构成犯罪 的，依法追究刑事责任。” 
3.【【其他法律法规规章】《行政处罚法》《行政机关公务员处分条例》《山西省行政执法条例》等规定的追责情形。</t>
  </si>
  <si>
    <t>3200-B-17400-140602</t>
  </si>
  <si>
    <t>对生产、储存 危险化学品的 企业或者使用 危险化学品从 事生产的企业 未按照《危险 化学品安全管 理条例》将安 全评价报告以 及整改方案的 落实情况报安 全生产监督管 理部门备案， 或者储存危险 化学品的单位 未将其剧毒化 学品以及储存 数量构成重大 危险源的其他 危险化学品的 储存数量、储 存地点以及管 理人员的情况 报安全生产监 督管理部门备 案的的处罚</t>
  </si>
  <si>
    <t>【行政法规】《危险化学品安全管理条例》（2002年1国 务院令第344号，2013年12月7日修改）第八十一条：“生产 、储存危险化学品的企业或者使用危险化学品从事生产的企 业未按照本条例规定将安全评价报告以及整改方案的落实情 况报安全生产监督管理部门或者港口行政管理部门备案，或 者储存危险化学品的单位未将其剧毒化学品以及储存数量构 成重大危险源的其他危险化学品的储存数量、储存地点以及 管理人员的情况报安全生产监督管理部门或者港口行政管理 部门备案的，分别由安全生产监督管理部门或者港口行政管 理部门依照前款规定予以处罚。”</t>
  </si>
  <si>
    <t>1.【行政法规】《危险化学品安 全管理条例》（2002年1国务院令 第344号，2013年12月7日修改） 第九十六条：“负有危险化学品 安全监督管理职责的部门的工作 人员，在危险化学品安全监督管 理工作中滥用职权、玩忽职守、 徇私舞弊，构成犯罪的，依法追 究刑事责任；尚不构成犯罪的， 依法给予处分。”
2.【其他法律法规规章】《行政处罚法》《行政机关公务员处分条例》《山西省行政执法条例》等规定的追责情形。</t>
  </si>
  <si>
    <t>3200-B-17500-140602</t>
  </si>
  <si>
    <t>对生产、储存 、使用危险化 学品的单位转 产、停产、停 业或者解散， 未依照《危险 化学品安全管 理条例》规定 将其危险化学 品生产装置、 储存设施以及 库存危险化学 品的处置方案 报有关部门备 案的处罚</t>
  </si>
  <si>
    <t>【行政法规】《危险化学品安全管理条例》（2002年1国 务院令第344号，2013年12月7日修改）第八十二条：“生产 、储存、使用危险化学品的单位转产、停产、停业或者解 散，未依照本条例规定将其危险化学品生产装置、储存设施 以及库存危险化学品的处置方案报有关部门备案的，分别由 有关部门责令改正，可以处1万元以下的罚款；拒不改正 的，处1万元以上5万元以下的罚款。”</t>
  </si>
  <si>
    <t>1.【行政法规】《危险化学品安 全管理条例》（2002年1国务院令 第344号，2013年12月7日修改） 第九十六条：“负有危险化学品 安全监督管理职责的部门的工作 人员，在危险化学品安全监督管 理工作中滥用职权、玩忽职守、 徇私舞弊，构成犯罪的，依法追 究刑事责任；尚不构成犯罪的， 依法给予处分。”
2.【【其他法律法规规章】《行政处罚法》《行政机关公务员处分条例》《山西省行政执法条例》等规定的追责情形。</t>
  </si>
  <si>
    <t>3200-B-17600-140602</t>
  </si>
  <si>
    <t>对转产、停产 、停止使用的 危险化学品管 道，管道单位 未按照《危险 化学品输送管 道安全管理规 定》将处置方 案报县级以上 安全生产监督 管理部门的罚</t>
  </si>
  <si>
    <t>【部门规章】《危险化学品输送管道安全管理规定》（2012 年1月原国家安全监管总局令第43号，2015年5月原国家安全 监管总局令第79号修正）第三十六条：“对转产、停产、停止使用的危险化学品管道，管道单位未按照本规定将处置方 案报县级以上安全生产监督管理部门的，由安全生产监督管 理部门责令改正，可以处1万元以下的罚款；拒不改正的， 处1万元以上5万元以下的罚款。”</t>
  </si>
  <si>
    <t>3200-B-17700-140602</t>
  </si>
  <si>
    <t>实施未按照规 定公告领导带 班下井月度计 划的处罚</t>
  </si>
  <si>
    <t>【部门规章】《金属非金属地下矿山企业领导带班下井及 监督检查暂行规定》（2010年10月原国家安全监管总局令第 34号，2015年5月原国家安全监管总局令第78号修正）第十 九条：“矿山企业存在下列行为之一的，责令限期整改，并 处3万元的罚款；对其主要负责人给予警告，并处1万元的罚 款：（二）未按照规定公告领导带班下井月度计划的。”</t>
  </si>
  <si>
    <t>3200-B-17800-140602</t>
  </si>
  <si>
    <t>实施未按照规 定公示领导带 班下井月度计 划完成情况的 处罚</t>
  </si>
  <si>
    <t>【部门规章】《金属非金属地下矿山企业领导带班下井及 监督检查暂行规定》（2010年10月原国家安全监管总局令第 34号，2015年5月原国家安全监管总局令第78号修正）第十 九条：“矿山企业存在下列行为之一的，责令限期整改，并 处3万元的罚款；对其主要负责人给予警告，并处1万元的罚 款：（三）未按照规定公示领导带班下井月度计划完成情况 的"。</t>
  </si>
  <si>
    <t>3200-B-17900-140602</t>
  </si>
  <si>
    <t>对非煤矿山外 包工程的承包 单位在登记注 册的省、自治 区、直辖市以 外从事施工作 业，未向作业 所在地县级人 民政府安全生 产监督管理部 门书面报告本 单位取得有关 许可和施工资 质，以及所承 包工程情况的 处罚</t>
  </si>
  <si>
    <t>【部门规章】《非煤矿山外包工程安全管理暂行办法》 （2013年8月原国家安全监管总局令第62号，2015年5月原国 家安全监管总局令第78号修正）第三十九条" 承包单位违反 本办法第二十七条的规定，在登记注册的省、自治区、直辖 市以外从事施工作业，未向作业所在地县级人民政府安全生 产监督管理部门书面报告本单位取得有关许可和施工资质， 以及所承包工程情况的，责令限期改正，处1万元以上3万元 以下的罚款"。</t>
  </si>
  <si>
    <t>1.【部门规章】《非煤矿山外包 工程安全管理暂行办法》（2013 年8月原国家安全监管总局令第62 号，2015年5月原国家安全监管总 局令第78号修正）第四十条：“ 安全生产监督管理部门的行政执 法人员在外包工程安全监督管理 过程中滥用职权、玩忽职守、徇 私舞弊的，依照有关规定给予处 分；构成犯罪的，依法追究刑事 责任。”
 2.【其他法律法规规章】《行政处罚法》《行政机关公务员处分条例》《山西省行政执法条例》等规定的追责情形。</t>
  </si>
  <si>
    <t>3200-B-18000-140602</t>
  </si>
  <si>
    <t>对未为从业人 员提供符合国 家标准、行业 标准或者地方 标准的劳动防 护用品的处罚</t>
  </si>
  <si>
    <t>1.【法律】《安全生产法》（2002年6月通过，2014年8月修 正）第九十六条：“生产经营单位有下列行为之一的，责令 限期改正，可以处五万元以下的罚款；逾期未改正的，处五 万元以上二十万元以下的罚款，对其直接负责的主管人员和 其他直接责任人员处一万元以上二万元以下的罚款；情节严 重的，责令停产停业整顿；构成犯罪的，依照刑法有关规定 追究刑事责任：（四）未为从业人员提供符合国家标准或者 行业标准的劳动防护用品的。”</t>
  </si>
  <si>
    <t>3200-B-18100-140602</t>
  </si>
  <si>
    <t>对矿山新招的 井下作业人员 和危险物品生 产经营单位新 招的危险工艺 操 作 岗 位 人 员，未经实习 期满独立上岗 作业的处罚</t>
  </si>
  <si>
    <t>【部门规章】《安全生产培训管理办法》（2012年1月原 国家安全监管总局令第44号，2015年5月原国家安全监管总 局令第80号修正）第三十六条”生产经营单位有下列情形之 一的，责令改正，处3万元以下的罚款：（二）矿山新招的 井下作业人员和危险物品生产经营单位新招的危险工艺操作 岗位人员，未经实习期满独立上岗作业的。”</t>
  </si>
  <si>
    <t>3200-B-18200-140602</t>
  </si>
  <si>
    <t>对承包地下矿 山工程的项目 部负责人违反 《非煤矿山外 包工程安全管 理暂行办法》 第二十一条的 规定，同时兼 任其他工程的 项目部负责人 的处罚</t>
  </si>
  <si>
    <t>《非煤矿山外包工程安全管理暂行办法》 （2013年8月原国家安全监管总局令第62号，2015年5月原国 家安全监管总局令第78号修正）第三十六条：“承包地下矿 山工程的项目部负责人违反本办法第二十一条的规定，同时 兼任其他工程的项目部负责人的，责令限期改正，处5000元 以上1万元以下罚款。”</t>
  </si>
  <si>
    <t>3200-B-18300-140602</t>
  </si>
  <si>
    <t>对生产经营单 位未建立健全 特种作业人员 档案的处罚</t>
  </si>
  <si>
    <t>【部门规章】《特种作业人员安全技术培训考核管理规定 》（2010年5月原国家安全监管总局令第30号，原国家安全 监管总局令第80号）第三十八条：“生产经营单位未建立健 全特种作业人员档案的，给予警告，并处1万元以下的罚款。</t>
  </si>
  <si>
    <t>3200-B-18400-140602</t>
  </si>
  <si>
    <t>对未将事故隐 患排查治理情 况如实记录的 处罚</t>
  </si>
  <si>
    <t>1.【法律】《安全生产法》 （2002年6月通过，2014年8月修 正）第八十七条：“负有安全生 产监督管理职责的部门的工作人 员，有下列行为之一的，给予降 级或者撤职的处分；构成犯罪 的，依照刑法有关规定追究刑事 责任：（四）在监督检查中发现 重大事故隐患，不依法及时处理 的。负有安全生产监督管理职责 的部门的工作人员有前款规定以 外的滥用职权、玩忽职守、徇私 舞弊行为的，依法给予处分；构 成犯罪的，依照刑法有关规定追 究刑事责任。” 
2.【其他法律法规规章】《行政处罚法》《行政机关公务员处分条例》《山西省行政执法条例》等规定的追责情形。</t>
  </si>
  <si>
    <t>3200-B-18500-140602</t>
  </si>
  <si>
    <t>对化学品单位 未按照《化学 品物理危险性 鉴定与分类管 理办法》规定 建立化学品物 理危险性鉴定 与分类管理档 案的处罚</t>
  </si>
  <si>
    <t>【部门规章】《化学品物理危险性鉴定与分类管理办法》 （2013年7月原国家安全监管总局令第60号）第十九条：“ 化学品单位有下列情形之一的，由安全生产监督管理部门责 令限期改正，可以处1万元以下的罚款；拒不改正的，处1万 元以上3万元以下的罚款：（二）未按照本办法规定建立化 学品物理危险性鉴定与分类管理档案的。”</t>
  </si>
  <si>
    <t>3200-B-18600-140602</t>
  </si>
  <si>
    <t>对矿山企业领 导未按照规定 填写带班下井 交接班记录、 带班下井登记 档案，或者弄 虚作假的处罚</t>
  </si>
  <si>
    <t>【部门规章】《金属非金属地下矿山企业领导带班下井及 监督检查暂行规定》（2010年10月原国家安全监管总局令第 34号，2015年5月原国家安全监管总局令第78号修正）第二 十条：“矿山企业领导未按照规定填写带班下井交接班记录 、带班下井登记档案，或者弄虚作假的，给予警告，并处1 万元的罚款。”</t>
  </si>
  <si>
    <t>3200-B-18700-140602</t>
  </si>
  <si>
    <t>对小型露天采 石场未在每年 年末测绘采石 场开采现状平 面 图 和 剖 面 图，并归档管 理的处罚</t>
  </si>
  <si>
    <t>【部门规章】《小型露天采石场安全管理与监督检查规定 》（2011年5月原国家安全监管总局令第39号公布，2015年5 月原国家安全监管总局令78号修正）第四十条：“违反本规 定第二十三条、第二十四条、第二十五条、第二十八条规定 的，给予警告，并处2万元以下的罚款。”</t>
  </si>
  <si>
    <t>3200-B-18800-140602</t>
  </si>
  <si>
    <t>对工贸企业未 按照本规定对 有限空间作业 进行辨识、提 出防范措施、 建立有限空间 管理台账的处 罚</t>
  </si>
  <si>
    <t>【部门规章】《工贸企业有限空间作业安全管理与监督暂 行规定》（2013年5月原国家安全监管总局令第59号，2015 年5月原国家安全监管总局令第80号修正）第三十条：“工 贸企业有下列情形之一的，由县级以上安全生产监督管理部 门责令限期改正，可以处3万元以下的罚款，对其直接负责 的主管人员和其他直接责任人员处1万元以下的罚款： （一）未按照本规定对有限空间作业进行辨识、提出防范措 施、建立有限空间管理台账的。”</t>
  </si>
  <si>
    <t>3200-B-18900-140602</t>
  </si>
  <si>
    <t>对向不具有《 危险化学品安 全管理条例》 第三十八条第 一款、第二款 规定的相关许 可证件或者证 明文件的单位 销售剧毒化学 品、易制爆危 险化学品的处 罚</t>
  </si>
  <si>
    <t>3200-B-19000-140602</t>
  </si>
  <si>
    <t>对不按照剧毒 化学品购买许 可证载明的品 种、数量销售 剧毒化学品的 的处罚</t>
  </si>
  <si>
    <t>【行政法规】《危险化学品安全管理条例》（2002年1月 国务院令第344号，2013年12月7日修改）第八十四条：“危 险化学品生产企业、经营企业有下列情形之一的，由安全生 产监督管理部门责令改正，没收违法所得，并处10万元以上 20万元以下的罚款；拒不改正的，责令停产停业整顿直至吊 销其危险化学品安全生产许可证、危险化学品经营许可证， 并由工商行政管理部门责令其办理经营范围变更登记或者吊 销其营业执照：（一）向不具有本条例第三十八条第一款、 第二款规定的相关许可证件或者证明文件的单位销售剧毒化 学品、易制爆危险化学品的。”</t>
  </si>
  <si>
    <t>1.【行政法规】《危险化学品安 全管理条例》（2002年1月国务院 令第344号，2013年12月7日修 改）第九十五条：“发生危险化 学品事故，有关地方人民政府及 其有关部门不立即组织实施救 援，或者不采取必要的应急处置 措施减少事故损失，防止事故蔓 延、扩大的，对直接负责的主管 人员和其他直接责任人员依法给 予处分；构成犯罪的，依法追究 刑事责任。”第九十六条：“负 有危险化学品安全监督管理职责 的部门的工作人员，在危险化学 品安全监督管理工作中滥用职权 、玩忽职守、徇私舞弊，构成犯 罪的，依法追究刑事责任；尚不 构成犯罪的，依法给予处分。” 
2.【其他法律法规规章】《行政处罚法》《行政机关公务员处分条例》《山西省行政执法条例》等规定的追责情形。</t>
  </si>
  <si>
    <t>3200-B-19100-140602</t>
  </si>
  <si>
    <t>对向个人销售 剧 毒 化 学 品 （属于剧毒化 学品的农药除 外）、易制爆 危险化学品的 处罚</t>
  </si>
  <si>
    <t>【行政法规】《危险化学品安全管理条例》（2002年1月 国务院令第344号，2013年12月7日修改）第八十四条：“危 险化学品生产企业、经营企业有下列情形之一的，由安全生 产监督管理部门责令改正，没收违法所得，并处10万元以上 20万元以下的罚款；拒不改正的，责令停产停业整顿直至吊 销其危险化学品安全生产许可证、危险化学品经营许可证， 并由工商行政管理部门责令其办理经营范围变更登记或者吊 销其营业执照：（三）向个人销售剧毒化学品（属于剧毒化 学品的农药除外）、易制爆危险化学品的。”</t>
  </si>
  <si>
    <t>1.【行政法规】《危险化学品安 全管理条例》（2002年1月国务院 令第344号，2013年12月7日修 改）第九十五条：“发生危险化 学品事故，有关地方人民政府及 其有关部门不立即组织实施救 援，或者不采取必要的应急处置 措施减少事故损失，防止事故蔓 延、扩大的，对直接负责的主管 人员和其他直接责任人员依法给 予处分；构成犯罪的，依法追究 刑事责任。”第九十六条：“负 有危险化学品安全监督管理职责 的部门的工作人员，在危险化学 品安全监督管理工作中滥用职权 、玩忽职守、徇私舞弊，构成犯 罪的，依法追究刑事责任；尚不 构成犯罪的，依法给予处分。” 2.【其他法律法规规章】《行政处罚法》《行政机关公务员处分条例》《山西省行政执法条例》等规定的追责情形。</t>
  </si>
  <si>
    <t>3200-B-19200-140602</t>
  </si>
  <si>
    <t>对危险化学品 专用仓库不符 合国家标准、 行业标准的要 求的处罚</t>
  </si>
  <si>
    <t>【行政法规】《危险化学品安全管理条例》（2002年1月 国务院令第344号，2013年12月7日修改）第八十条：“生产 、储存、使用危险化学品的单位有下列情形之一的，由安全 生产监督管理部门责令改正，处5万元以上10万元以下的罚 款；拒不改正的，责令停产停业整顿直至由原发证机关吊销 其相关许可证件，并由工商行政管理部门责令其办理经营范 围变更登记或者吊销其营业执照；有关责任人员构成犯罪 的，依法追究刑事责任：（六）危险化学品专用仓库不符合 国家标准、行业标准的要求的。”</t>
  </si>
  <si>
    <t>3200-B-19300-140602</t>
  </si>
  <si>
    <t>对未将危险化 学品储存在专 用仓库内，或 者未将剧毒化 学品以及储存 数量构成重大 危险源的其他 危险化学品在 专用仓库内单 独存放的处罚</t>
  </si>
  <si>
    <t>1.【行政法规】《危险化学品安全管理条例》（2002年1月 国务院令第344号，2013年12月7日修改）第八十条：“生产 、储存、使用危险化学品的单位有下列情形之一的，由安全 生产监督管理部门责令改正，处5万元以上10万元以下的罚 款；拒不改正的，责令停产停业整顿直至由原发证机关吊销 其相关许可证件，并由工商行政管理部门责令其办理经营范 围变更登记或者吊销其营业执照；有关责任人员构成犯罪 的，依法追究刑事责任：（四）未将危险化学品储存在专用 仓库内，或者未将剧毒化学品以及储存数量构成重大危险源 的其他危险化学品在专用仓库内单独存放的。” 
2.【部门规章】《危险化学品经营许可证管理办法》（2012 年7月原国家安全监管总局令第55号，2015年5月原国家安全 监管总局令第79号修正）第三十条：“带有储存设施的企业 违反《危险化学品安全管理条例》规定，有下列情形之一 的，责令改正，处5万元以上10万元以下的罚款；拒不改正 的，责令停产停业整顿；经停产停业整顿仍不具备法律、法 规、规章、国家标准和行业标准规定的安全生产条件的，吊 销其经营许可证：（三）未将危险化学品储存在专用仓库 内，或者未将剧毒化学品以及储存数量构成重大危险源的其 他危险化学品在专用仓库内单独存放的。”</t>
  </si>
  <si>
    <t>1.【行政法规】《危险化学品安 全管理条例》（2002年1月国务院 令第344号，2013年12月7日修 改）第九十五条：“发生危险化 学品事故，有关地方人民政府及 其有关部门不立即组织实施救 援，或者不采取必要的应急处置 措施减少事故损失，防止事故蔓 延、扩大的，对直接负责的主管 人员和其他直接责任人员依法给 予处分；构成犯罪的，依法追究 刑事责任。”第九十六条：“负 有危险化学品安全监督管理职责 的部门的工作人员，在危险化学 品安全监督管理工作中滥用职权 、玩忽职守、徇私舞弊，构成犯 罪的，依法追究刑事责任；尚不 构成犯罪的，依法给予处分。”
 2.【部门规章】《危险化学品经 营许可证管理办法》（2012年7月 原国家安全监管总局令第55号， 2015年5月原国家安全监管总局令 第79号修正）第三十四条：““ 安全生产监督管理部门的工作人 员徇私舞弊、滥用职权、弄虚作 假、玩忽职守，未依法履行危险 化学品经营许可证审批、颁发和 监督管理职责的，依照有关规定 给予处分。”
 3.【其他法律法规规章】《行政处罚法》《行政机关公务员处分条例》《山西省行政执法条例》等规定的追责情形。</t>
  </si>
  <si>
    <t>3200-B-19400-140602</t>
  </si>
  <si>
    <t>对危险化学品 的储存方式、 方法或者储存 数量不符合国 家标准或者国 家有关规定的 处罚</t>
  </si>
  <si>
    <t>1.【行政法规】《危险化学品安全管理条例》（2002年1月 国务院令第344号，2013年12月7日修改）第八十条：“生产 、储存、使用危险化学品的单位有下列情形之一的，由安全 生产监督管理部门责令改正，处5万元以上10万元以下的罚 款；拒不改正的，责令停产停业整顿直至由原发证机关吊销 其相关许可证件，并由工商行政管理部门责令其办理经营范 围变更登记或者吊销其营业执照；有关责任人员构成犯罪 的，依法追究刑事责任：（五）危险化学品的储存方式、方 法或者储存数量不符合国家标准或者国家有关规定的。”
2.【部门规章】《危险化学品经营许可证管理办法》（2012 年7月原国家安全监管总局令第55号，2015年5月原国家安全 监管总局令第79号修正）第三十条：“带有储存设施的企业 违反《危险化学品安全管理条例》规定，有下列情形之一 的，责令改正，处5万元以上10万元以下的罚款；拒不改正 的，责令停产停业整顿；经停产停业整顿仍不具备法律、法 规、规章、国家标准和行业标准规定的安全生产条件的，吊 销其经营许可证：（五）危险化学品的储存方式、方法或者 储存数量不符合国家标准或者国家有关规定的；。”</t>
  </si>
  <si>
    <t>1.【行政法规】《危险化学品安 全管理条例》（2002年1月国务院 令第344号，2013年12月7日修 改）第九十五条：“发生危险化 学品事故，有关地方人民政府及 其有关部门不立即组织实施救 援，或者不采取必要的应急处置 措施减少事故损失，防止事故蔓 延、扩大的，对直接负责的主管 人员和其他直接责任人员依法给 予处分；构成犯罪的，依法追究 刑事责任。”第九十六条：“负 有危险化学品安全监督管理职责 的部门的工作人员，在危险化学 品安全监督管理工作中滥用职权 、玩忽职守、徇私舞弊，构成犯 罪的，依法追究刑事责任；尚不 构成犯罪的，依法给予处分。” 
2.【部门规章】《危险化学品经 营许可证管理办法》（2012年7月 原国家安全监管总局令第55号， 2015年5月原国家安全监管总局令 第79号修正）第三十四条：““ 安全生产监督管理部门的工作人 员徇私舞弊、滥用职权、弄虚作 假、玩忽职守，未依法履行危险 化学品经营许可证审批、颁发和 监督管理职责的，依照有关规定 给予处分。”
3.【其他法律法规规章】《行政处罚法》《行政机关公务员处分条例》《山西省行政执法条例》等规定的追责情形。</t>
  </si>
  <si>
    <t>3200-B-19500-140602</t>
  </si>
  <si>
    <t>对进行爆破、 吊装以及国务 院安全生产监 督管理部门会 同国务院有关 部门规定的其 他危险作业， 未安排专门人 员进行现场安 全管理的处罚</t>
  </si>
  <si>
    <t>【法律】《安全生产法》（2002年6月通过，2014年8月修 正）第九十八条：“生产经营单位有下列行为之一的，责令 限期改正，可以处十万元以下的罚款；逾期未改正的，责令 停产停业整顿，并处十万元以上二十万元以下的罚款，对其 直接负责的主管人员和其他直接责任人员处二万元以上五万 元以下的罚款；构成犯罪的，依照刑法有关规定追究刑事责 任：（三）进行爆破、吊装以及国务院安全生产监督管理部 门会同国务院有关部门规定的其他危险作业，未安排专门人 员进行现场安全管理的。”</t>
  </si>
  <si>
    <t>1.【法律】《安全生产法》 （2002年6月通过，2014年8月修 正）第八十七条：“负有安全生 产监督管理职责的部门的工作人 员，有下列行为之一的，给予降 级或者撤职的处分；构成犯罪 的，依照刑法有关规定追究刑事 责任：（四）在监督检查中发现 重大事故隐患，不依法及时处理 的。负有安全生产监督管理职责 的部门的工作人员有前款规定以 外的滥用职权、玩忽职守、徇私 舞弊行为的，依法给予处分；构 成犯罪的，依照刑法有关规定追 究刑事责任。”
 2.【其他法律法规规章】《行政处罚法》《行政机关公务员处分条例》等规定的追责情形。</t>
  </si>
  <si>
    <t>3200-B-19600-140602</t>
  </si>
  <si>
    <t>对生产经营单 位及其主要负 责人或者其他 人员发现从业 人员违章作业 不加制止的处 罚</t>
  </si>
  <si>
    <t>【部门规章】《安全生产违法行为行政处罚办法》（2007 年11月30日原国家安全监管总局令第15号公布，2015年4月2 日原国家安全监管总局令第77号修正）第四十五条：“生产 经营单位及其主要负责人或者其他人员有下列行为之一的， 给予警告，并可以对生产经营单位处1万元以上3万元以下罚 款，对其主要负责人、其他有关人员处1000元以上1万元以 下的罚款：（三）发现从业人员违章作业不加制止的；”</t>
  </si>
  <si>
    <t xml:space="preserve">【其他法律法规规章】《行政处罚法》《行政机关公务员处分条例》等规定的追责情形。 </t>
  </si>
  <si>
    <t>3200-B-197000-140602</t>
  </si>
  <si>
    <t>对两个以上生 产经营单位在 同一作业区域 内进行可能危 及对方安全生 产的生产经营 活动，未签订 安全生产管理 协议或者未指 定专职安全生 产管理人员进 行安全检查与 协调的处罚</t>
  </si>
  <si>
    <t>【法律】《安全生产法》（2002年6月29日通过 2014年8 月31日修正）第一百零一条：“两个以上生产经营单位在同 一作业区域内进行可能危及对方安全生产的生产经营活动， 未签订安全生产管理协议或者未指定专职安全生产管理人员 进行安全检查与协调的，责令限期改正，可以处五万元以下 的罚款，对其直接负责的主管人员和其他直接责任人员可以 处一万元以下的罚款；逾期未改正的，责令停产停业。”</t>
  </si>
  <si>
    <t>1.【法律】《安全生产法》 （2002年6月29日通过，2014年8 月31日修正）第八十七条：“负 有安全生产监督管理职责的部门 的工作人员，有下列行为之一 的，给予降级或者撤职的处分； 构成犯罪的，依照刑法有关规定 追究刑事责任： （三）对已经依法取得批准的单 位不履行监督管理职责，发现其 不再具备安全生产条件而不撤销 原批准或者发现安全生产违法行 为不予查处的； （四）在监督检查中发现重大事 故隐患，不依法及时处理的。 负有安全生产监督管理职责 的部门的工作人员有前款规定以 外的滥用职权、玩忽职守、徇私 舞弊行为的，依法给予处分；构 成犯罪的，依照刑法有关规定追 究刑事责任。” 
2.【其他法律法规规章】《行政处罚法》《行政机关公务员处分条例》等规定的追责情形。</t>
  </si>
  <si>
    <t>3200-B-19800-140602</t>
  </si>
  <si>
    <t>对进行可能危 及危险化学品 管道安全的施 工作业，施工 单位未按照规 定书面通知管 道所属单位， 或者未与管道 所属单位共同 制定应急预案 、采取相应的 安 全 防 护 措 施，或者管道 所属单位未指 派专门人员到 现场进行管道 安全保护指导 的处罚</t>
  </si>
  <si>
    <t>1.【行政法规】《危险化学品安全管理条例》（2002年1月 26日国务院令第344号公布 2013年12月7日修改）第七十八 条：“有下列情形之一的，由安全生产监督管理部门责令改 正，可以处5万元以下的罚款；拒不改正的，处5万元以上10 万元以下的罚款；情节严重的，责令停产停业整顿：（二） 进行可能危及危险化学品管道安全的施工作业，施工单位未 按照规定书面通知管道所属单位，或者未与管道所属单位共 同制定应急预案、采取相应的安全防护措施，或者管道所属 单位未指派专门人员到现场进行管道安全保护指导的；” 
2.【部门规章】《危险化学品输送管道安全管理规定》 （2012年1月17日原国家安全监管总局令第43号公布，根据 2015年5月27日原国家安全监管总局令第79号修正）第三十 五条：“有下列情形之一的，由安全生产监督管理部门责令 改正，可以处5万元以下的罚款；拒不改正的，处5万元以上 10万元以下的罚款；情节严重的，责令停产停业整顿。 （二）进行可能危及危险化学品管道安全的施工作业，施工 单位未按照规定书面通知管道单位，或者未与管道单位共同 制定应急预案并采取相应的防护措施，或者管道单位未指派 专人到现场进行管道安全保护指导的。”</t>
  </si>
  <si>
    <t>1.【行政法规】《危险化学品安 全管理条例》（2002年1月26日公 布 国务院令第344号，2013年12 月7日修改）第九十六条：“负有 危险化学品安全监督管理职责的 部门的工作人员，在危险化学品 安全监督管理工作中滥用职权、 玩忽职守、徇私舞弊，构成犯罪 的，依法追究刑事责任；尚不构 成犯罪的，依法给予处分。”
2.【其他法律法规规章】《行政处罚法》《行政机关公务员处分条例》等规定的追责情形。</t>
  </si>
  <si>
    <t>3200-B-19900-140602</t>
  </si>
  <si>
    <t>对非煤矿山工 程项目发包单 位违章指挥或 者强令承包单 位及其从业人 员冒险作业的 处罚</t>
  </si>
  <si>
    <t>【部门规章】《非煤矿山外包工程安全管理暂行办法》 （2013年8月23日原国家安全监管总局令第62号公布，2015 年5月26日原国家安全监管总局令第78号修正）第三十二 条：“发包单位违反本办法第六条的规定，违章指挥或者强 令承包单位及其从业人员冒险作业的，责令改正，处2万元 以上3万元以下的罚款；造成损失的，依法承担赔偿责任。</t>
  </si>
  <si>
    <t xml:space="preserve">1.【部门规章】《非煤矿山外包 工程安全管理暂行办法》（2013 年8月23日原国家安全监管总局令 第62号公布，2015年5月26日原国 家安全监管总局令第78号修正） 第四十条：“安全生产监督管理 部门的行政执法人员在外包工程 安全监督管理过程中滥用职权、 玩忽职守、徇私舞弊的，依照有 关规定给予处分；构成犯罪的， 依法追究刑事责任。” 
2.【其他法律法规规章】《行政处罚法》《行政机关公务员处分条例》等规定的追责情形。 </t>
  </si>
  <si>
    <t>3200-B-20000-140602</t>
  </si>
  <si>
    <t>对矿山企业领 导未按照规定 带班下井的处 罚</t>
  </si>
  <si>
    <t>【部门规章】《金属非金属地下矿山企业领导带班下井及 监督检查暂行规定》（2010年10月13日原国家安全监管总局 令第34号公布，2015年5月26日原国家安全监管总局令第78 号修正）第二十一条：“矿山企业领导未按照规定带班下井 的，对矿山企业给予警告，处3万元的罚款；情节严重的， 依法责令停产整顿；对违反规定的矿山企业领导按照擅离职 守处理，并处1万元的罚款。”</t>
  </si>
  <si>
    <t>3200-B-20100-140602</t>
  </si>
  <si>
    <t>对小型露天采 石场违反有关 安全距离、爆 破方式、开采 作业等安全管 理规定的处罚</t>
  </si>
  <si>
    <t>【部门规章】《小型露天采石场安全管理与监督检查规定 》（2011年5月4日原国家安全监管总局令第39号公布，2015 年5月26日原国家安全监管总局令78号修正）第三十九条： “违反本规定第十二条、第十三条第一、二款、第十四条、 第十五条、第十六条、第十七条、第十九条、第二十条第一 款、第二十一条、第二十二条规定的，给予警告，并处1万 元以上3万元以下的罚款。”</t>
  </si>
  <si>
    <t>1.【部门规章】《小型露天采石 场安全管理与监督检查规定》 （2011年5月4日原国家安全监管 总局令第39号公布，2015年5月26 日原国家安全监管总局令78号修 正）第三十五条：“安全生产监 督管理部门及其工作人员违反法 律法规和本规定，未依法履行对 小型露天采石场安全生产监督检 查职责的，依法给予行政处分。 ”
2.【其他法律法规规章】《行政处罚法》《行政机关公务员处分条例》等规定的追责情形。</t>
  </si>
  <si>
    <t>3200-B-20200-140602</t>
  </si>
  <si>
    <t>对小型露天采 石场违反废石 场、电气设备 、防汛应急、 测绘等有关管 理规定的处罚</t>
  </si>
  <si>
    <t>【部门规章】《小型露天采石场安全管理与监督检查规定 》（2011年5月4日原国家安全监管总局令第39号公布，2015 年5月26日原国家安全监管总局令78号修正）第四十条：“ 违反本规定第二十三条、第二十四条、第二十五条、第二十 八条规定的，给予警告，并处2万元以下的罚款。”</t>
  </si>
  <si>
    <t>3200-B-20300-140602</t>
  </si>
  <si>
    <t>对工贸企业未 按照本规定对 有限空间作业 制定作业方案 或者方案未经 审批擅自作业 的处罚</t>
  </si>
  <si>
    <t>【部门规章】《工贸企业有限空间作业安全管理与监督暂 行规定》（2013年5月20日原国家安全监管总局令第59号公 布，2015年5月29日原国家安全监管总局令第80号修正）第 三十条：“工贸企业有下列情形之一的，由县级以上安全生 产监督管理部门责令限期改正，可以处3万元以下的罚款， 对其直接负责的主管人员和其他直接责任人员处1万元以下 的罚款：（二）未按照本规定对有限空间作业制定作业方案 或者方案未经审批擅自作业的；”</t>
  </si>
  <si>
    <t>3200-B-20400-140602</t>
  </si>
  <si>
    <t>对工贸企业有 限空间作业未 按照《工贸企 业有限空间作 业安全管理与 监督暂行规定 》进行危险有 害因素检测或 者监测，并实 行专人监护作 业的处罚</t>
  </si>
  <si>
    <t>【部门规章】《工贸企业有限空间作业安全管理与监督暂 行规定》（2013年5月20日原国家安全监管总局令第59号公 布，2015年5月29日原国家安全监管总局令第80号修正）第 三十条：“工贸企业有下列情形之一的，由县级以上安全生 产监督管理部门责令限期改正，可以处3万元以下的罚款， 对其直接负责的主管人员和其他直接责任人员处1万元以下 的罚款：（三）有限空间作业未按照本规定进行危险有害因 素检测或者监测，并实行专人监护作业的。”</t>
  </si>
  <si>
    <t>3200-B-20500-140602</t>
  </si>
  <si>
    <t>对生产经营单 位对一般生产 安全事故负有 责任的处罚</t>
  </si>
  <si>
    <t>1.【法律】《安全生产法》（2002年6月29日通过 2014年8 月31日修正）第一百零九条：“发生生产安全事故，对负有 责任的生产经营单位除要求其依法承担相应的赔偿等责任 外，由安全生产监督管理部门依照下列规定处以罚款： （一）发生一般事故的，处二十万元以上五十万元以下的罚 款；”
2.【部门规章】《生产安全事故罚款处罚规定（试行）》 (2007年7月12日原国家安全监管总局令第13号公布，2015年 4月2日原国家安全监管总局令第77号修正)第十四条：“事 故发生单位对造成3人以下死亡，或者3人以上10人以下重伤 (包括急性工业中毒，下同)，或者300万元以上1000万元以 下直接经济损失的一般事故负有责任的，处20万元以上50万 元以下的罚款。事故发生单位有本条第一款规定的行为且有 谎报或者瞒报事故情节的，处50万元的罚款。”</t>
  </si>
  <si>
    <t>3200-B-20600-140602</t>
  </si>
  <si>
    <t>对生产经营单 位对较大生产 安全事故负有 责任的处罚</t>
  </si>
  <si>
    <t>1.【法律】《安全生产法》（2002年6月29日通过 2014年8 月31日修正）第一百零九条：“发生生产安全事故，对负有 责任的生产经营单位除要求其依法承担相应的赔偿等责任 外，由安全生产监督管理部门依照下列规定处以罚款： （二）发生较大事故的，处五十万元以上一百万元以下的罚 款；” 
2.【部门规章】《生产安全事故罚款处罚规定（试行）》 (2007年7月12日原国家安全监管总局令第13号公布，2015年 4月2日原国家安全监管总局令第77号修正)第十五条：“事 故发生单位对较大事故发生负有责任的，依照下列规定处以 罚款:(一)造成3人以上6人以下死亡，或者10人以上30人以 下重伤，或者1000万元以上3000万元以下直接经济损失的， 处50万元以上70万元以下的罚款；(二)造成6人以上10人以 下死亡，或者30人以上50人以下重伤，或者3000万元以上 5000万元以下直接经济损失的，处70万元以上100万元以下 的罚款。事故发生单位对较大事故发生负有责任且有谎报或 者瞒报情节的，处100万元的罚款。”</t>
  </si>
  <si>
    <t>3200-B-20700-140602</t>
  </si>
  <si>
    <t>对生产经营单 位对重大生产 安全事故负有 责任的处罚</t>
  </si>
  <si>
    <t>1.【法律】《安全生产法》（2002年6月29日通过 2014年8 月31日修正）第一百零九条：“发生生产安全事故，对负有 责任的生产经营单位除要求其依法承担相应的赔偿等责任 外，由安全生产监督管理部门依照下列规定处以罚款： （三）发生重大事故的，处一百万元以上五百万元以下的罚 款；” 
2.【部门规章】《生产安全事故罚款处罚规定（试行）》 (2007年7月12日原国家安全监管总局令第13号公布，2015年 4月2日原国家安全监管总局令第77号修正)第十六条：“事 故发生单位对重大事故发生负有责任的，依照下列规定处以 罚款:(一)造成10人以上15人以下死亡，或者50人以上70人 以下重伤，或者5000万元以上7000万元以下直接经济损失 的，处100万元以上300万元以下的罚款； (二)造成15人以上30人以下死亡，或者70人以上100人以下 重伤，或者7000万元以上1亿元以下直接经济损失的，处300 万元以上500万元以下的罚款。事故发生单位对重大事故发 生负有责任且有谎报或者瞒报情节的，处500万元的罚款。</t>
  </si>
  <si>
    <t>3200-B-20800-140602</t>
  </si>
  <si>
    <t>对生产经营单 位对特别重大 生产安全事故 负有责任的处 罚</t>
  </si>
  <si>
    <t>1.【法律】《安全生产法》（2002年6月29日通过 2014年8 月31日修正）第一百零九条：“发生生产安全事故，对负有 责任的生产经营单位除要求其依法承担相应的赔偿等责任 外，由安全生产监督管理部门依照下列规定处以罚款： （四）发生特别重大事故的，处五百万元以上一千万元以下 的罚款；情节特别严重的，处一千万元以上二千万元以下的 罚款。” 2.【部门规章】《生产安全事故罚款处罚规定（试行）》 (2007年7月12日原国家安全监管总局令第13号公布，2015年 4月2日原国家安全监管总局令第77号修正)第十七条：“事 故发生单位对特别重大事故发生负有责任的，依照下列规定 处以罚款:(一)造成30人以上40人以下死亡，或者100人以上 120人以下重伤，或者1亿元以上1.2亿元以下直接经济损失 的，处500万元以上1000万元以下的罚款；(二)造成40人以 上50人以下死亡，或者120人以上150人以下重伤，或者1.2 亿元以上1.5亿元以下直接经济损失的，处1000万元以上 1500万元以下的罚款；(三)造成50人以上死亡，或者150人 以上重伤，或者1.5亿元以上直接经济损失的，处1500万元 以上2000万元以下的罚款。 事故发生单位对特别重大事故发生负有责任且有下列情形之 一的，处2000万元的罚款:(一)谎报特别重大事故的；(二) 瞒报特别重大事故的；(三)未依法取得有关行政审批或者证 照擅自从事生产经营活动的；(四)拒绝、阻碍行政执法的； (五)拒不执行有关停产停业、停止施工、停止使用相关设备 或者设施的行政执法指令的；(六)明知存在事故隐患，仍然 进行生产经营活动的；(七)一年内已经发生2起以上较大事 故，或者1起重大以上事故，再次发生特别重大事故的； (八)地下矿山负责人未按照规定带班下井的。”</t>
  </si>
  <si>
    <t>3200-B-20900-140602</t>
  </si>
  <si>
    <t>对生产经营单 位的主要负责人未履行本法规定的安全生产管理职责， 导致发生生产 安全事故的处 罚</t>
  </si>
  <si>
    <t>1.【法律】《安全生产法》（2002年6月29日通过 2014年8 月31日修正）第九十二条：“生产经营单位的主要负责人未 履行本法规定的安全生产管理职责，导致发生生产安全事故 的，由安全生产监督管理部门依照下列规定处以罚款： （一）发生一般事故的，处上一年年收入百分之三十的罚 款；（二）发生较大事故的，处上一年年收入百分之四十的 罚款；（三）发生重大事故的，处上一年年收入百分之六十 的罚款；（四）发生特别重大事故的，处上一年年收入百分 之八十的罚款。”</t>
  </si>
  <si>
    <t>1.【法律】《安全生产法》 （2002年6月29日通过，2014年8 月31日修正）第八十七条：“负 有安全生产监督管理职责的部门 的工作人员，有下列行为之一 的，给予降级或者撤职的处分； 构成犯罪的，依照刑法有关规定 追究刑事责任： （三）对已经依法取得批准的单 位不履行监督管理职责，发现其 不再具备安全生产条件而不撤销 原批准或者发现安全生产违法行 为不予查处的； （四）在监督检查中发现重大事 故隐患，不依法及时处理的。 负有安全生产监督管理职责 的部门的工作人员有前款规定以 外的滥用职权、玩忽职守、徇私 舞弊行为的，依法给予处分；构 成犯罪的，依照刑法有关规定追 究刑事责任。” 2.【其他法律法规规章】《行政处罚法》《行政机关公务员处分条例》《山西省行政执法条例》等规定的追责情形。</t>
  </si>
  <si>
    <t>3200-B-21000-140602</t>
  </si>
  <si>
    <t>对生产经营单 位的决策机构 、主要负责人 、个人经营的 投资人（包括 实际控制人） 安全投入不足 致使生产经营 单位不具备安 全生产条件， 导致事故发生 的处罚</t>
  </si>
  <si>
    <t>1.【法律】《安全生产法》（2002年6月29日通过 2014年8 月31日修正）第九十条：“生产经营单位的决策机构、主要 负责人或者个人经营的投资人不依照本法规定保证安全生产 所必需的资金投入，致使生产经营单位不具备安全生产条件 的，责令限期改正，提供必需的资金；逾期未改正的，责令 生产经营单位停产停业整顿。有前款违法行为，导致发生生 产安全事故的，对生产经营单位的主要负责人给予撤职处 分，对个人经营的投资人处二万元以上二十万元以下的罚 款；构成犯罪的，依照刑法有关规定追究刑事责任。” 
2.【部门规章】《生产安全事故罚款处罚规定（试行）》 (2007年7月12日原国家安全监管总局令第13号公布，2015年 4月2日原国家安全监管总局令第77号修正)第十九条：“个 人经营的投资人未依照《安全生产法》的规定保证安全生产 所必需的资金投入，致使生产经营单位不具备安全生产条 件，导致发生生产安全事故的，依照下列规定对个人经营的 投资人处以罚款:(一)发生一般事故的，处2万元以上5万元 以下的罚款；(二)发生较大事故的，处5万元以上10万元以 下的罚款；(三)发生重大事故的，处10万元以上15万元以下 的罚款；(四)发生特别重大事故的，处15万元以上20万元以 下的罚款。”</t>
  </si>
  <si>
    <t>3200-B-21100-140602</t>
  </si>
  <si>
    <t>对事故发生单 位主要负责人 不立即组织抢 救或者在事故 调查处理期间 擅离职守或者 逃匿的，主要 负责人对生产 安全事故漏报 、迟报的处罚</t>
  </si>
  <si>
    <t>1.【法律】《安全生产法》（2002年6月29日通过 2014年8 月31日修正）第一百零六条：“生产经营单位的主要负责人 在本单位发生生产安全事故时，不立即组织抢救或者在事故 调查处理期间擅离职守或者逃匿的，给予降级、撤职的处 分，并由安全生产监督管理部门处上一年年收入百分之六十 至百分之一百的罚款；对逃匿的处十五日以下拘留；构成犯 罪的，依照刑法有关规定追究刑事责任。” 2.【行政法规】《生产安全事故报告和调查处理条例》 (2007年3月28日通过，2007年4月9日国务院令第493号公布) 第三十五条：“事故发生单位主要负责人有下列行为之一 的，处上一年年收入40%至80%的罚款；属于国家工作人员 的，并依法给予处分；构成犯罪的，依法追究刑事责任： （一）不立即组织事故抢救的；（二）迟报或者漏报事故 的；（三）在事故调查处理期间擅离职守的。 3.【部门规章】《生产安全事故罚款处罚规定（试行）》 (2007年7月12日原国家安全监管总局令第13号公布，2015年 4月2日原国家安全监管总局令第77号修正)第十一条：“事 故发生单位主要负责人有《安全生产法》第一百零六条、《 条例》第三十五条规定的下列行为之一的，依照下列规定处 以罚款:(一)事故发生单位主要负责人在事故发生后不立即 组织事故抢救的，处上一年年收入100%的罚款；(二)事故发 生单位主要负责人迟报事故的，处上一年年收入60%至80%的 罚款；漏报事故的，处上一年年收入40%至60%的罚款；(三) 事故发生单位主要负责人在事故调查处理期间擅离职守的， 处上一年年收入80%至100%的罚款。”</t>
  </si>
  <si>
    <t>1.【法律】《安全生产法》 （2002年6月29日通过，2014年8 月31日修正）第八十七条：“负 有安全生产监督管理职责的部门 的工作人员，有下列行为之一 的，给予降级或者撤职的处分； 构成犯罪的，依照刑法有关规定 追究刑事责任： （三）对已经依法取得批准的单 位不履行监督管理职责，发现其 不再具备安全生产条件而不撤销 原批准或者发现安全生产违法行 为不予查处的； （四）在监督检查中发现重大事 故隐患，不依法及时处理的。 负有安全生产监督管理职责 的部门的工作人员有前款规定以 外的滥用职权、玩忽职守、徇私 舞弊行为的，依法给予处分；构 成犯罪的，依照刑法有关规定追 究刑事责任。”
 2.【行政法规】《生产安全事故 报告和调查处理条例》(2007年3 月28日通过，2007年4月9日国务 院令第493号公布)第三十九条： “有关地方人民政府、安全生产 监督管理部门和负有安全生产监 督管理职责的有关部门有下列行 为之一的，对直接负责的主管人 员和其他直接责任人员依法给予 处分；构成犯罪的，依法追究刑 事责任：（二）迟报、漏报、谎报或 者瞒报事故的；”
 3.【其他法律法规规章】《行政处罚法》《行政机关公务员处分条例》等规定的追责情形。</t>
  </si>
  <si>
    <t>3200-B-212000-140602</t>
  </si>
  <si>
    <t>对事故发生单 位的有关人员 在事故报告和 调查处理中有 关违法行为的 处罚</t>
  </si>
  <si>
    <t>1.【法律】《安全生产法》（2002年6月29日通过 2014年8 月31日修正）第一百零六条：“生产经营单位的主要负责人 对生产安全事故隐瞒不报、谎报或者迟报的，依照前款规定 处罚；”
2.【行政法规】《生产安全事故报告和调查处理条例》 (2007年3月28日通过，2007年4月9日国务院令第493号公布) 第三十六条：“事故发生单位及其有关人员有下列行为之一 的，对事故发生单位处100万元以上500万元以下的罚款；对 主要负责人、直接负责的主管人员和其他直接责任人员处上 一年年收入60%至100%的罚款；属于国家工作人员的，并依 法给予处分；构成违反治安管理行为的，由公安机关依法给 予治安管理处罚；构成犯罪的，依法追究刑事责任：（一） 谎报或者瞒报事故的；（二）伪造或者故意破坏事故现场 的；（三）转移、隐匿资金、财产，或者销毁有关证据、资 料的；（四）拒绝接受调查或者拒绝提供有关情况和资料 的；（五）在事故调查中作伪证或者指使他人作伪证的； （六）事故发生后逃匿的。”
3.【部门规章】《生产安全事故罚款处罚规定（试行）》 (2007年7月12日原国家安全监管总局令第13号公布，2015年 4月2日原国家安全监管总局令第77号修正)第十三条：“事 故发生单位的主要负责人、直接负责的主管人员和其他直接 责任人员有《安全生产法》第一百零六条、《条例》第三十 六条规定的下列行为之一的，依照下列规定处以罚款:(一) 伪造、故意破坏事故现场，或者转移、隐匿资金、财产、销 毁有关证据、资料，或者拒绝接受调查，或者拒绝提供有关 情况和资料，或者在事故调查中作伪证，或者指使他人作伪 证的，处上一年年收入80%至90%的罚款；(二)谎报、瞒报事 故或者事故发生后逃匿的，处上一年年收入100%的罚款。”</t>
  </si>
  <si>
    <t>1.【法律】《安全生产法》 （2002年6月29日通过，2014年8 月31日修正）第八十七条：“负 有安全生产监督管理职责的部门 的工作人员，有下列行为之一 的，给予降级或者撤职的处分； 构成犯罪的，依照刑法有关规定 追究刑事责任： （三）对已经依法取得批准的单 位不履行监督管理职责，发现其 不再具备安全生产条件而不撤销 原批准或者发现安全生产违法行 为不予查处的； （四）在监督检查中发现重大事 故隐患，不依法及时处理的。 负有安全生产监督管理职责 的部门的工作人员有前款规定以 外的滥用职权、玩忽职守、徇私 舞弊行为的，依法给予处分；构 成犯罪的，依照刑法有关规定追 究刑事责任。” 
2.【行政法规】《生产安全事故 报告和调查处理条例》(2007年3 月28日通过，2007年4月9日国务 院令第493号公布)第三十九条： “有关地方人民政府、安全生产 监督管理部门和负有安全生产监 督管理职责的有关部门有下列行 为之一的，对直接负责的主管人 员和其他直接责任人员依法给予 处分；构成犯罪的，依法追究刑 事责任：（二）迟报、漏报、谎报或 者瞒报事故的； （三）阻碍、干涉事故调查 工作的；（四）在事故调查中作伪证 或者指使他人作伪证的。” 
3.【其他法律法规规章】《行政处罚法》《行政机关公务员处分条例》《山西省行政执法条例》等规定的追责情形。</t>
  </si>
  <si>
    <t>3200-B-21300-140602</t>
  </si>
  <si>
    <t>对事故发生单 位伪造或者故 意破坏事故现 场的处罚</t>
  </si>
  <si>
    <t>1.【行政法规】《生产安全事故报告和调查处理条例》 (2007年3月28日通过，2007年4月9日国务院令第493号公布) 第三十六条：“事故发生单位及其有关人员有下列行为之一 的，对事故发生单位处100万元以上500万元以下的罚款；对 主要负责人、直接负责的主管人员和其他直接责任人员处上 一年年收入60%至100%的罚款；属于国家工作人员的，并依 法给予处分；构成违反治安管理行为的，由公安机关依法给 予治安管理处罚；构成犯罪的，依法追究刑事责任：（二） 伪造或者故意破坏事故现场的；” 
2.【部门规章】《生产安全事故罚款处罚规定（试行）》 (2007年7月12日原国家安全监管总局令第13号公布，2015年 4月2日原国家安全监管总局令第77号修正)第十二条：“事 故发生单位有《条例》第三十六条规定行为之一的，依照《 国家安全监管总局关于印发&lt;安全生产行政处罚自由裁量标 准&gt;的通知》(安监总政法〔2010〕137号)等规定给予罚款。</t>
  </si>
  <si>
    <t>1.【行政法规】《生产安全事故 报告和调查处理条例》(2007年3 月28日通过，2007年4月9日国务 院令第493号公布)第三十九条： “有关地方人民政府、安全生产 监督管理部门和负有安全生产监 督管理职责的有关部门有下列行 为之一的，对直接负责的主管人 员和其他直接责任人员依法给予 处分；构成犯罪的，依法追究刑 事责任：（三）阻碍、干涉事故调查 工作的；（四）在事故调查中作伪证 或者指使他人作伪证的。”
2.【其他法律法规规章】《行政处罚法》《行政机关公务员处分条例》等规定的追责情形。</t>
  </si>
  <si>
    <t>3200-B-21400-140602</t>
  </si>
  <si>
    <t>对事故发生单 位转移、隐匿 资金、财产， 或者销毁有关 证据、资料的 处罚</t>
  </si>
  <si>
    <t>1.【行政法规】《生产安全事故报告和调查处理条例》 (2007年3月28日通过，2007年4月9日国务院令第493号公布) 第三十六条：“事故发生单位及其有关人员有下列行为之一 的，对事故发生单位处100万元以上500万元以下的罚款；对 主要负责人、直接负责的主管人员和其他直接责任人员处上 一年年收入60%至100%的罚款；属于国家工作人员的，并依 法给予处分；构成违反治安管理行为的，由公安机关依法给 予治安管理处罚；构成犯罪的，依法追究刑事责任：（三） 转移、隐匿资金、财产，或者销毁有关证据、资料的；” 
2.【部门规章】《生产安全事故罚款处罚规定（试行）》 (2007年7月12日原国家安全监管总局令第13号公布，2015年 4月2日原国家安全监管总局令第77号修正)第十二条：“事 故发生单位有《条例》第三十六条规定行为之一的，依照《 国家安全监管总局关于印发&lt;安全生产行政处罚自由裁量标 准&gt;的通知》(安监总政法〔2010〕137号)等规定给予罚款。</t>
  </si>
  <si>
    <t>【其他法律法规规章】《行政处罚法》《行政机关公务员处分条例》等规定的追责情形。</t>
  </si>
  <si>
    <t>3200-B-21500-140602</t>
  </si>
  <si>
    <t>对事故发生单 位拒绝接受调 查或者拒绝提 供有关情况和 资料的处罚</t>
  </si>
  <si>
    <t>1.【行政法规】《生产安全事故报告和调查处理条例》 (2007年3月28日通过，2007年4月9日国务院令第493号公布) 第三十六条：“事故发生单位及其有关人员有下列行为之一 的，对事故发生单位处100万元以上500万元以下的罚款；对 主要负责人、直接负责的主管人员和其他直接责任人员处上 一年年收入60%至100%的罚款；属于国家工作人员的，并依 法给予处分；构成违反治安管理行为的，由公安机关依法给 予治安管理处罚；构成犯罪的，依法追究刑事责任：（四） 拒绝接受调查或者拒绝提供有关情况和资料的；” 
2.【部门规章】《生产安全事故罚款处罚规定（试行）》 (2007年7月12日原国家安全监管总局令第13号公布，2015年 4月2日原国家安全监管总局令第77号修正)第十二条：“事 故发生单位有《条例》第三十六条规定行为之一的，依照《 国家安全监管总局关于印发&lt;安全生产行政处罚自由裁量标 准&gt;的通知》(安监总政法〔2010〕137号)等规定给予罚款。</t>
  </si>
  <si>
    <t>1.【行政法规】《生产安全事故 报告和调查处理条例》(2007年3 月28日通过，2007年4月9日国务 院令第493号公布)第三十九条： “有关地方人民政府、安全生产 监督管理部门和负有安全生产监 督管理职责的有关部门有下列行 为之一的，对直接负责的主管人 员和其他直接责任人员依法给予 处分；构成犯罪的，依法追究刑 事责任：（三）阻碍、干涉事故调查 工作的；”
2.【其他法律法规规章】《行政处罚法》《行政机关公务员处分条例》等规定的追责情形。</t>
  </si>
  <si>
    <t>3200-B-21600-140602</t>
  </si>
  <si>
    <t>对事故发生单 位在事故调查 中作伪证或者 指使他人作伪 证的处罚</t>
  </si>
  <si>
    <t>1.【行政法规】《生产安全事故报告和调查处理条例》 (2007年3月28日通过，2007年4月9日国务院令第493号公布) 第三十六条：“事故发生单位及其有关人员有下列行为之一 的，对事故发生单位处100万元以上500万元以下的罚款；对 主要负责人、直接负责的主管人员和其他直接责任人员处上 一年年收入60%至100%的罚款；属于国家工作人员的，并依 法给予处分；构成违反治安管理行为的，由公安机关依法给 予治安管理处罚；构成犯罪的，依法追究刑事责任：（五） 在事故调查中作伪证或者指使他人作伪证的；” 
2.【部门规章】《生产安全事故罚款处罚规定（试行）》 (2007年7月12日原国家安全监管总局令第13号公布，2015年 4月2日原国家安全监管总局令第77号修正)第十二条：“事 故发生单位有《条例》第三十六条规定行为之一的，依照《 国家安全监管总局关于印发&lt;安全生产行政处罚自由裁量标 准&gt;的通知》(安监总政法〔2010〕137号)等规定给予罚款。</t>
  </si>
  <si>
    <t>1.【行政法规】《生产安全事故 报告和调查处理条例》(2007年3 月28日通过，2007年4月9日国务 院令第493号公布)第三十九条： “有关地方人民政府、安全生产 监督管理部门和负有安全生产监 督管理职责的有关部门有下列行 为之一的，对直接负责的主管人 员和其他直接责任人员依法给予 处分；构成犯罪的，依法追究刑 事责任： （四）在事故调查中作伪证或 者指使他人作伪证的。” 
2.【其他法律法规规章】《行政处罚法》《行政机关公务员处分条例》等规定的追责情形。</t>
  </si>
  <si>
    <t>3200-B-21700-140602</t>
  </si>
  <si>
    <t>对事故发生单 位对较大涉险 事故迟报、漏 报、谎报或者 瞒报的处罚</t>
  </si>
  <si>
    <t>【部门规章】《生产安全事故信息报告和处置办法》 （2009年6月16日原国家安全监管总局令第21号公布）第二 十五条：“生产经营单位对较大涉险事故迟报、漏报、谎报 或者瞒报的，给予警告，并处3万元以下的罚款。”</t>
  </si>
  <si>
    <t>1.【行政法规】《生产安全事故 报告和调查处理条例》(2007年3 月28日通过，2007年4月9日国务 院令第493号公布)第三十九条： “有关地方人民政府、安全生产 监督管理部门和负有安全生产监 督管理职责的有关部门有下列行 为之一的，对直接负责的主管人 员和其他直接责任人员依法给予 处分；构成犯罪的，依法追究刑 事责任：（二）迟报、漏报、谎报 或者瞒报事故的；” 
2.【其他法律法规规章】《行政处罚法》《行政机关公务员处分条例》等规定的追责情形。</t>
  </si>
  <si>
    <t>3200-B-21800-140602</t>
  </si>
  <si>
    <t>对生产经营单 位与从业人员 订立协议，减 轻其对从业人 员因生产安全 事故伤亡依法 应承担的责任 的处罚</t>
  </si>
  <si>
    <t>1.【法律】《安全生产法》（2002年6月29日通过 2014年8 月31日修正）第一百零三条：“生产经营单位与从业人员订 立协议，免除或者减轻其对从业人员因生产安全事故伤亡依 法应承担的责任的，该协议无效；对生产经营单位的主要负 责人、个人经营的投资人处二万元以上十万元以下的罚款。 ”
2.【部门规章】《安全生产违法行为行政处罚办法》（2007 年11月30日原国家安全监管总局令第15号公布，2015年4月2 日原国家安全监管总局令第77号修正）第四十七条：“生产 经营单位与从业人员订立协议，免除或者减轻其对从业人员 因生产安全事故伤亡依法应承担的责任的，该协议无效；对 生产经营单位的主要负责人、个人经营的投资人按照下列规 定处以罚款：（一）在协议中减轻因生产安全事故伤亡对从 业人员依法应承担的责任的，处2万元以上5万元以下的罚 款；（二）在协议中免除因生产安全事故伤亡对从业人员依 法应承担的责任的，处5万元以上10万元以下的罚款。”</t>
  </si>
  <si>
    <t>3200-B-21900-140602</t>
  </si>
  <si>
    <t>3200-B-22000-140602</t>
  </si>
  <si>
    <t>对金属非金属 地下矿山企业 发生一般事故 而没有领导带 班下井的（对 企业处罚）处 罚</t>
  </si>
  <si>
    <t>【部门规章】《金属非金属地下矿山企业领导带班下井及 监督检查暂行规定》（2010年10月13日原国家安全监管总局 令第34号公布，2015年5月26日原国家安全监管总局令第78 号修正）第二十二条：“对发生生产安全事故而没有领导带 班下井的矿山企业，依法责令停产整顿，暂扣或者吊销安全 生产许可证，并依照下列规定处以罚款；情节严重的，提请 有关人民政府依法予以关闭：（一）发生一般事故，处50万 元的罚款；”</t>
  </si>
  <si>
    <t>3200-B-22100-140602</t>
  </si>
  <si>
    <t>对金属非金属 地下矿山企业 发生一般事故 而没有领导带 班下井的（对 个人处罚）处 罚</t>
  </si>
  <si>
    <t>【部门规章】《金属非金属地下矿山企业领导带班下井及 监督检查暂行规定》（2010年10月13日原国家安全监管总局 令第34号公布，2015年5月26日原国家安全监管总局令第78 号修正）第二十三条：“对发生生产安全事故而没有领导带 班下井的矿山企业，对其主要负责人依法暂扣或者吊销其安 全资格证，并依照下列规定处以罚款：（一）发生一般事 故，处上一年年收入30%的罚款；”</t>
  </si>
  <si>
    <t>3200-B-22200-140602</t>
  </si>
  <si>
    <t>对金属非金属 地下矿山企业 发生较大事故 而没有领导带 班下井的（对 企业处罚）处 罚</t>
  </si>
  <si>
    <t>【部门规章】《金属非金属地下矿山企业领导带班下井及 监督检查暂行规定》（2010年10月13日原国家安全监管总局 令第34号公布，2015年5月26日原国家安全监管总局令第78 号修正）第二十二条：“对发生生产安全事故而没有领导带 班下井的矿山企业，依法责令停产整顿，暂扣或者吊销安全 生产许可证，并依照下列规定处以罚款；情节严重的，提请 有关人民政府依法予以关闭：（二）发生较大事故，处100 万元的罚款；”</t>
  </si>
  <si>
    <t>3200-B-22300-140602</t>
  </si>
  <si>
    <t>对金属非金属 地下矿山企业 发生较大事故 而没有领导带 班下井的（对 个人处罚）处 罚</t>
  </si>
  <si>
    <t>【部门规章】《金属非金属地下矿山企业领导带班下井及 监督检查暂行规定》（2010年10月13日原国家安全监管总局 令第34号公布，2015年5月26日原国家安全监管总局令第78 号修正）第二十三条：“对发生生产安全事故而没有领导带 班下井的矿山企业，对其主要负责人依法暂扣或者吊销其安 全资格证，并依照下列规定处以罚款：（二）发生较大事 故，处上一年年收入40%的罚款；”</t>
  </si>
  <si>
    <t>3200-B-22400-140602</t>
  </si>
  <si>
    <t>对金属非金属 地下矿山企业 发生重大事故 而没有领导带 班下井的（对 企业处罚）处 罚</t>
  </si>
  <si>
    <t>【部门规章】《金属非金属地下矿山企业领导带班下井及 监督检查暂行规定》（2010年10月13日原国家安全监管总局 令第34号公布，2015年5月26日原国家安全监管总局令第78 号修正）第二十二条：“对发生生产安全事故而没有领导带 班下井的矿山企业，依法责令停产整顿，暂扣或者吊销安全 生产许可证，并依照下列规定处以罚款；情节严重的，提请 有关人民政府依法予以关闭：（三）发生重大事故，处500 万元的罚款；”</t>
  </si>
  <si>
    <t>3200-B-22500-140602</t>
  </si>
  <si>
    <t>对金属非金属 地下矿山企业 发生重大事故 而没有领导带 班下井的（对 个人处罚）处 罚</t>
  </si>
  <si>
    <t>【部门规章】《金属非金属地下矿山企业领导带班下井及 监督检查暂行规定》（2010年10月13日原国家安全监管总局 令第34号公布，2015年5月26日原国家安全监管总局令第78 号修正）第二十三条：“对发生生产安全事故而没有领导带 班下井的矿山企业，对其主要负责人依法暂扣或者吊销其安 全资格证，并依照下列规定处以罚款：（三）发生重大事 故，处上一年年收入60%的罚款；”</t>
  </si>
  <si>
    <t>3200-B-22600-140602</t>
  </si>
  <si>
    <t>对金属非金属 地下矿山企业 发生特别重大 事故而没有领 导带班下井的 （ 对 企 业 处 罚）处罚</t>
  </si>
  <si>
    <t>【部门规章】《金属非金属地下矿山企业领导带班下井及 监督检查暂行规定》（2010年10月13日原国家安全监管总局 令第34号公布，2015年5月26日原国家安全监管总局令第78 号修正）第二十二条：“对发生生产安全事故而没有领导带 班下井的矿山企业，依法责令停产整顿，暂扣或者吊销安全 生产许可证，并依照下列规定处以罚款；情节严重的，提请 有关人民政府依法予以关闭：（四）发生特别重大事故，处 2000万元的罚款。”</t>
  </si>
  <si>
    <t>3200-B-22700-140602</t>
  </si>
  <si>
    <t>对金属非金属 地下矿山企业 发生特别重大 事故而没有领 导带班下井的 （ 对 个 人 处 罚）处罚</t>
  </si>
  <si>
    <t>【部门规章】《金属非金属地下矿山企业领导带班下井及 监督检查暂行规定》（2010年10月13日原国家安全监管总局 令第34号公布，2015年5月26日原国家安全监管总局令第78 号修正）第二十三条：“对发生生产安全事故而没有领导带 班下井的矿山企业，对其主要负责人依法暂扣或者吊销其安 全资格证，并依照下列规定处以罚款：（四）发生特别重大 事故，处上一年年收入80%的罚款。”</t>
  </si>
  <si>
    <t>3200-B-22800-140602</t>
  </si>
  <si>
    <t>对生产、经营 、使用国家禁 止生产、经营 、使用的危险 化学品的处罚</t>
  </si>
  <si>
    <t>【行政法规】《危险化学品安全管理条例》（2002年1月 26日国务院令第344号公布 2013年12月7日修改）第七十五 条：“生产、经营、使用国家禁止生产、经营、使用的危险 化学品的，由安全生产监督管理部门责令停止生产、经营、 使用活动，处20万元以上50万元以下的罚款，有违法所得 的，没收违法所得；构成犯罪的，依法追究刑事责任。有前 款规定行为的，安全生产监督管理部门还应当责令其对所生 产、经营、使用的危险化学品进行无害化处理。”</t>
  </si>
  <si>
    <t>1.【行政法规】《危险化学品安 全管理条例》（2002年1月26日公 布 国务院令第344号，2013年12 月7日修改）第九十六条：“负有 危险化学品安全监督管理职责的 部门的工作人员，在危险化学品 安全监督管理工作中滥用职权、 玩忽职守、徇私舞弊，构成犯罪 的，依法追究刑事责任；尚不构 成犯罪的，依法给予处分。”
 2.【其他法律法规规章】《行政处罚法》《行政机关公务员处分条例》《山西省行政执法条例》等规定的追责情形。</t>
  </si>
  <si>
    <t>3200-B-22900-140602</t>
  </si>
  <si>
    <t>对生产经营单 位拒绝、阻碍 负有安全生产 监督管理职责 的部门依法实 施监督检查的 处罚</t>
  </si>
  <si>
    <t>【法律】《安全生产法》（2002年6月29日通过 2014年8 月31日修正）第一百零五条：“违反本法规定，生产经营单 位拒绝、阻碍负有安全生产监督管理职责的部门依法实施监 督检查的，责令改正；拒不改正的，处二万元以上二十万元 以下的罚款；对其直接负责的主管人员和其他直接责任人员 处一万元以上二万元以下的罚款；构成犯罪的，依照刑法有 关规定追究刑事责任。”</t>
  </si>
  <si>
    <t>3200-B-23000-140602</t>
  </si>
  <si>
    <t>对生产经营单 位及其主要负 责人或者其他 人员拒不执行 安全监管监察 部门依法下达 的安全监管监 察指令的处罚</t>
  </si>
  <si>
    <t>【部门规章】《安全生产违法行为行政处罚办法》（2007 年11月30日原国家安全监管总局令第15号公布，2015年4月2 日原国家安全监管总局令第77号修正）第四十五条：“生产 经营单位及其主要负责人或者其他人员有下列行为之一的， 给予警告，并可以对生产经营单位处1万元以上3万元以下罚 款，对其主要负责人、其他有关人员处1000元以上1万元以 下的罚款：（七）拒不执行安全监管监察部门依法下达的安 全监管监察指令的。”</t>
  </si>
  <si>
    <t>3200-B-23100-140602</t>
  </si>
  <si>
    <t>对登记企业拒 绝、阻挠登记 机构对本企业 危险化学品登 记情况进行现 场核查的处罚</t>
  </si>
  <si>
    <t>【部门规章】《危险化学品登记管理办法》（2012年7月1 日国家安全生产监督管理总局令第53号公布）第三十条：“ 登记企业有下列行为之一的，责令改正，可以处3万元以下 的罚款：（五）拒绝、阻挠登记机构对本企业危险化学品登 记情况进行现场核查的。”</t>
  </si>
  <si>
    <t>1.【部门规章】《危险化学品登 记管理办法》（2012年7月1日原 国家安全监管总局令第53号公 布）第二十八条：“登记机构的 登记人员违规操作、弄虚作假、 滥发证书，在规定限期内无故不 予登记且无明确答复，或者泄露 登记企业商业秘密的，责令改 正，并追究有关责任人员的责任 。”
2.【其他法律法规规章】《行政处罚法》《行政机关公务员处分条例》等规定的追责情形。</t>
  </si>
  <si>
    <t>3200-B-23200-140602</t>
  </si>
  <si>
    <t>对生产、经营 、储存、使用 危险物品的车 间、商店、仓 库与员工宿舍 在同一座建筑 内，或者与员 工宿舍的距离 不符合安全要 求的处罚</t>
  </si>
  <si>
    <t>【法律】《安全生产法》（2002年6月29日通过 2014年8 月31日修正）第一百零二条：“生产经营单位有下列行为之 一的，责令限期改正，可以处五万元以下的罚款，对其直接 负责的主管人员和其他直接责任人员可以处一万元以下的罚 款；逾期未改正的，责令停产停业整顿；构成犯罪的，依照 刑法有关规定追究刑事责任：（一）生产、经营、储存、使 用危险物品的车间、商店、仓库与员工宿舍在同一座建筑 内，或者与员工宿舍的距离不符合安全要求的；”</t>
  </si>
  <si>
    <t>3200-B-23300-140602</t>
  </si>
  <si>
    <t>对生产经营场 所和员工宿舍 未设有符合紧 急疏散需要、 标志明显、保 持 畅 通 的 出 口，或者锁闭 、封堵生产经 营场所或者员 工宿舍出口的 处罚</t>
  </si>
  <si>
    <t>【法律】《安全生产法》（2002年6月29日通过 2014年8 月31日修正）第一百零二条：“生产经营单位有下列行为之 一的，责令限期改正，可以处五万元以下的罚款，对其直接 负责的主管人员和其他直接责任人员可以处一万元以下的罚 款；逾期未改正的，责令停产停业整顿；构成犯罪的，依照 刑法有关规定追究刑事责任：（二）生产经营场所和员工宿 舍未设有符合紧急疏散需要、标志明显、保持畅通的出口， 或者锁闭、封堵生产经营场所或者员工宿舍出口的。”</t>
  </si>
  <si>
    <t>3200-B-23400-140602</t>
  </si>
  <si>
    <t>对知道或者应 当知道生产经 营单位未取得 安全生产许可 证或者其他批 准文件擅自从 事生产经营活 动，仍为其提 供生产经营场 所、运输、保 管、仓储等条 件的处罚</t>
  </si>
  <si>
    <t>【部门规章】《安全生产违法行为行政处罚办法》（2007 年11月30日原国家安全监管总局令第15号公布，2015年4月2 日原国家安全监管总局令第77号修正）第五十条：“知道或 者应当知道生产经营单位未取得安全生产许可证或者其他批 准文件擅自从事生产经营活动，仍为其提供生产经营场所、 运输、保管、仓储等条件的，责令立即停止违法行为，有违 法所得的，没收违法所得，并处违法所得1倍以上3倍以下的 罚款，但是最高不得超过3万元；没有违法所得的，并处 5000元以上1万元以下的罚款。”</t>
  </si>
  <si>
    <t>3200-B-23500-140602</t>
  </si>
  <si>
    <t>对生产经营单 位及其主要负 责人或者其他 人员对被查封 或者扣押的设 施、设备、器 材、危险物品 和作业场所， 擅自启封或者 使用的处罚</t>
  </si>
  <si>
    <t>【部门规章】《安全生产违法行为行政处罚办法》（2007 年11月30日原国家安全监管总局令第15号公布，2015年4月2 日原国家安全监管总局令第77号修正）第四十五条：“生产 经营单位及其主要负责人或者其他人员有下列行为之一的， 给予警告，并可以对生产经营单位处1万元以上3万元以下罚 款，对其主要负责人、其他有关人员处1000元以上1万元以 下的罚款：（五）对被查封或者扣押的设施、设备、器材、 危险物品和作业场所，擅自启封或者使用的；”</t>
  </si>
  <si>
    <t>3200-B-23600-140602</t>
  </si>
  <si>
    <t>对尾矿库运行 到设计最终标 高或者不再进 行 排 尾 作 业 的，在规定时 限内不主动实 施闭库的处罚</t>
  </si>
  <si>
    <t>【部门规章】《尾矿库安全监督管理规定》（2011年5月4 日原国家安全监管总局令第38号公布，2015年5月26日原国 家安全监管总局令第78号修正）第四十一条：“生产经营单 位违反本规定第二十八条第一款规定不主动实施闭库的，给 予警告，并处3万元的罚款。”</t>
  </si>
  <si>
    <t>1.【部门规章】《尾矿库安全监 督管理规定》（2011年5月4日原 国家安全监管总局令第38号公 布，2015年5月26日原国家安全监 管总局令第78号修正）第三十八 条：“安全生产监督管理部门的 工作人员，未依法履行尾矿库安 全监督管理职责的，依照有关规 定给予行政处分。” 
2.【其他法律法规规章】《行政处罚法》《行政机关公务员处分条例》等规定的追责情形。</t>
  </si>
  <si>
    <t>3200-B-23700-140602</t>
  </si>
  <si>
    <t>对煤矿未建立健全煤矿领导带班下井制度或未严格执行制度的处罚</t>
  </si>
  <si>
    <t xml:space="preserve">1.【行政法规】《国务院关于预防煤矿生产安全事故的特别规定》（2005国务院令第446号,2013年第一次修正）      
    第二十一条  煤矿企业负责人和生产经营管理人员应当按照国家规定轮流带班下井，并建立下井登记档案。
　　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
2.【部门规章】 《煤矿领导带班下井及安全监督检查规定》（2010年国家安全生产监督管理总局令第33号）
    第十八条  煤矿有下列情形之一的，给予警告，并处3万元罚款；对煤矿主要负责人处1万元罚款。
   （一）未建立健全煤矿领导带班下井制度，或者未按规定报煤炭行业管理部门备案和抄送煤矿安全监管部门、煤矿安全监察机构的；
   （二）未建立煤矿领导井下交接班制度的；
   （三）未建立煤矿领导带班下井档案管理制度的；
   （四）煤矿领导每月带班下井情况未按照规定公示的；
   （五）未按规定填写煤矿领导下井交接班记录簿、带班下井记录或者保存带班下井相关记录档案的。
    第十九条 煤矿领导未按规定带班下井，或者带班下井档案虚假的，责令改正，并对该煤矿处15万元的罚款，对违反规定的煤矿领导按照擅离职守处理，对煤矿主要负责人处1万元的罚款。
   </t>
  </si>
  <si>
    <t>1.立案责任：对检查发现、举报、移交的煤矿企业主要负责人、安全生产管理人员未履行安全生产管理职责的违法案件，予以审查，决定是否立案。
2.调查责任：对已经立案的案件，进行调查时，执法人员不得少于两人，与当事人有直接利害关系的应当回避。调查时应出示执法证件，收集相关证据，允许当事人辩解陈述，执法人员应保守有关秘密。调查结束后作为《调查报告》。
3.审查责任：对案件违法事实、证据、调查取证程序、法律适用、处罚种类和幅度、当事人陈述和申辩理由等方面进行审查，提出处理意见，报分管领导审核（对于严重违法行为的行政处罚案件，由局领导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依法撤销其相关证书。作出撤销资格的，要进行公告。按照重案行政处罚备案的规定进行备案。
8.其他：法律法规规章规定应履行的责任。</t>
  </si>
  <si>
    <t xml:space="preserve">                                                                                                                                                                                                                             1.【部门规章】《安全生产违法行为行政处罚办法》（国家安全生产监督管理总局令第15号,2015年最新修订,2015年最新修订）第二十三条“除依照简易程序当场作出的行政处罚外，安全监管监察部门发现生产经营单位及其有关人员有应当给予行政处罚的行为的，应当予以立案，填写立案审批表，并全面、客观、公正地进行调查，收集有关证据。”
2-1.【部门规章】《安全生产违法行为行政处罚办法》（国家安全生产监督管理总局令第15号,2015年最新修订）第二十四条“对已经立案的案件，由立案审批人指定两名或者两名以上安全生产行政执法人员进行调查。有下列情形之一的，承办案件的安全生产行政执法人员应当回避：……” 
2-2.【部门规章】《安全生产违法行为行政处罚办法》（国家安全生产监督管理总局令第15号,2015年最新修订）第十三条“安全生产行政执法人员在执行公务时，必须出示省级以上安全生产监督管理部门或者县级以上地方人民政府统一制作的有效行政执法证件。其中对煤矿进行安全监察，必须出示国家安全生产监督管理总局统一制作的煤矿安全监察员证。”
2-3.【部门规章】《安全生产违法行为行政处罚办法》（国家安全生产监督管理总局令第15号,2015年最新修订）第十九条“安全监管监察部门应当充分听取当事人的陈述和申辩，对当事人提出的事实、理由和证据，应当进行复核；当事人提出的事实、理由和证据成立的，安全监管监察部门应当采纳。安全监管监察部门不得因当事人陈述或者申辩而加重处罚。”
3.【部门规章】《安全生产违法行为行政处罚办法》（国家安全生产监督管理总局令第15号,2015年最新修订）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给予责令停产停业整顿、责令停产停业、……、吊销有关许可证、撤销有关执业资格或者岗位证书、3万元以上罚款、没收违法所得、没收非法开采的煤炭产品或者采掘设备价值3万元以上的行政处罚的，应当由安全监管监察部门的负责人集体讨论决定。”
4.【部门规章】《安全生产违法行为行政处罚办法》（国家安全生产监督管理总局令第15号,2015年最新修订）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部门规章】《安全生产违法行为行政处罚办法》（国家安全生产监督管理总局令第15号,2015年最新修订）第三十条“安全监管监察部门依照本办法第二十九条的规定给予行政处罚，应当制作行政处罚决定书。行政处罚决定书应当载明下列事项：……”
6.【部门规章】《安全生产违法行为行政处罚办法》（国家安全生产监督管理总局令第15号,2015年最新修订）第三十一条“行政处罚决定书应当在宣告后当场交付当事人；当事人不在场的，安全监管监察部门应当在7日内依照民事诉讼法的有关规定，将行政处罚决定书送达当事人或者其他的法定受送达人：……”
7.【部门规章】《安全生产违法行为行政处罚办法》（国家安全生产监督管理总局令第15号,2015年最新修订）第五十九条“行政处罚决定依法作出后，当事人应当在行政处罚决定的期限内，予以履行；当事人逾期不履的，作出行政处罚决定的安全监管监察部门可以采取下列措施：……”
</t>
  </si>
  <si>
    <t>3200-B-23800-140602</t>
  </si>
  <si>
    <t>对煤矿主要负责人、安全生产管理人员未履行安全生产管理职责的处罚</t>
  </si>
  <si>
    <t>【法律】《安全生产法》（2014年修正本）
    第九十一条  生产经营单位的主要负责人未履行本法规定的安全生产管理职责的，责令限期改正；逾期未改正的，处二万元以上五万元以下的罚款，责令生产经营单位停产停业整顿。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</si>
  <si>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1.立案责任：对检查发现、举报、移交的煤矿未履行安全生产管理职责的违法案件，予以审查，决定是否立案。
2.调查责任：对已经立案的，进行调查时，执法人员不得少于两人，与当事人有直接利害关系的应当回避。调查时应出示执法证件，收集相关证据，允许当事人辩解陈述，执法人员应保守有关秘密。调查结束后作为《调查报告》。
3.审查责任：对案件进行审查，提出处理意见，报分管领导审核。
4.告知责任：在做出行政处罚决定前，制作《行政处罚告知书》，符合听证条件的制作《听证告知书》，通知当事人，当事人享有的陈述、申辩、要求听证的权利。
5.决定责任：根据审理情况决定是否予以行政处罚。决定处罚的，制作《行政处罚决定书》。
6.送达责任：《行政处罚决定书》按照法定的方式和期限送达当事人。
7.执行责任：监督当事人在决定的期限内，履行生效的行政处罚决定。当事人在法定期限内不履行的，发出催缴通知，加收罚款滞纳金，再不履行的向人民法院申请强制执行。依法撤销其相关证书。作出撤销资格的，要进行公告。按照重案行政处罚备案的规定进行备案
8.其他：法律法规规章规定应履行的责任。</t>
  </si>
  <si>
    <t>1.【部门规章】《安全生产违法行为行政处罚办法》（国家安全生产监督管理总局令第15号,2015年最新修订）第二十三条
2-1.【部门规章】《安全生产违法行为行政处罚办法》（国家安全生产监督管理总局令第15号,2015年最新修订）第二十四条
2-2.【部门规章】《安全生产违法行为行政处罚办法》（国家安全生产监督管理总局令第15号,2015年最新修订）第十三条
2-3.【部门规章】《安全生产违法行为行政处罚办法》（国家安全生产监督管理总局令第15号,2015年最新修订）第十九条
3.【部门规章】《安全生产违法行为行政处罚办法》（国家安全生产监督管理总局令第15号,2015年最新修订）第二十九条
4.【部门规章】《安全生产违法行为行政处罚办法》（国家安全生产监督管理总局令第15号,2015年最新修订）第十八条
5.【部门规章】《安全生产违法行为行政处罚办法》（国家安全生产监督管理总局令第15号,2015年最新修订）第三十条
6.【部门规章】《安全生产违法行为行政处罚办法》（国家安全生产监督管理总局令第15号,2015年最新修订）第三十一条
7.【部门规章】《安全生产违法行为行政处罚办法》（国家安全生产监督管理总局令第15号,2015年最新修订）第五十九条</t>
  </si>
  <si>
    <t>3200-B-23900-140602</t>
  </si>
  <si>
    <t>对煤矿未按规定设立安全生产管理机构或配备安全生产管理人员的处罚。</t>
  </si>
  <si>
    <t>【法律】《安全生产法》（2014年修正本）
    第九十四条第一项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t>
  </si>
  <si>
    <t>3200-B-24000-140602</t>
  </si>
  <si>
    <t>生产经营单位的决策机构、主要负责人或者个人经营的投资人不能保证安全生产所必需的资金投入，致使生产经营单位不具备安全生产条件的处罚</t>
  </si>
  <si>
    <t xml:space="preserve"> 1.【法律】《安全生产法》（2014年修正本）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2.【部门规章】《安全生产违法行为行政处罚办法》（2015年修订，年国家安全监管总局令第15号）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t>
  </si>
  <si>
    <t>3200-B-24100-140602</t>
  </si>
  <si>
    <t>对超能力、超强度或者超定员组织生产的；瓦斯超限作业的；通风系统不完善、不可靠的；自然发火严重，未采取有效措施的；新建煤矿边建设边生产，煤矿改扩建期间，在改扩建的区域生产，或者在其他区域的生产超出安全设计规定的范围和规模的处罚</t>
  </si>
  <si>
    <t>【行政法规】《国务院关于预防煤矿生产安全事故的特别规定》（2005年国务院令第446号，2013年第一次修正）                                                                                                                         
    第八条第二款  煤矿有下列重大安全生产隐患和行为的，应当立即停止生产，排除隐患：
　　（一）超能力、超强度或者超定员组织生产的；
　　（二）瓦斯超限作业的；
　　（四）高瓦斯矿井未建立瓦斯抽放系统和监控系统，或者瓦斯监控系统不能正常运行的；
　　（五）通风系统不完善、不可靠的；
　　（六）有严重水患，未采取有效措施的；
    （九）自然发火严重，未采取有效措施的；
    （十二）新建煤矿边建设边生产，煤矿改扩建期间，在改扩建的区域生产，或者在其他区域的生产超出安全设计规定的范围和规模的；
    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  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t>
  </si>
  <si>
    <t>3200-B-24200-140602</t>
  </si>
  <si>
    <t>对煤矿企业产量监控系统工作人员未持证上岗的；生产矿井未按规定安装煤炭产量监控系统的；人为造成煤炭产量监控系统不能正常运行的；发生超能力生产行为不予纠正的；故意弃用煤炭产量监控系统的处罚</t>
  </si>
  <si>
    <t>【地方性规章】《山西省煤炭产量监控系统管理规定》（山西省人民政府令第221号）
   第十八条  违反本规定，有下列情形之一的，由县级以上煤炭行政主管部门处以30000元以上50000元以下的罚款；情节严重的，依法责令其停产整顿或者暂扣煤炭生产许可证，并对煤矿企业主要负责人处以5000元以上10000元以下的罚款，对直接责任人处以3000元以上5000元以下的罚款：
   （一）工作人员未持证上岗的；
   （二）生产矿井未按规定安装煤炭产量监控系统的；
   （三）人为造成煤炭产量监控系统不能正常运行的；
   （四）发生超能力生产行为不予纠正的；
   （五）故意弃用煤炭产量监控系统的。</t>
  </si>
  <si>
    <t>3200-B-24300-140602</t>
  </si>
  <si>
    <t>对煤矿企业未按规定为从业人员提供符合国家或行业标准的劳动防护用品的处罚</t>
  </si>
  <si>
    <t xml:space="preserve">1.【法律】《安全生产法》（2014年修正本）
    第九十六条第四项 生产经营单位有下列行为之一的，责令限期改正，可以处五万元以下的罚款；逾期未改正的，处五万元以上二十万元以下的罚款，对其直接负责的主管人员和其他责任人员处一万元以上二万元以下的罚款；情节严重的，责令停产停业整顿；构成犯罪的，依照刑法追究刑事责任：
   （四）未为从业人员提供符合国家标准或者行业标准的劳动防护用品的。
</t>
  </si>
  <si>
    <t>3200-B-24400-140602</t>
  </si>
  <si>
    <t>对煤炭企业使用的设施、设备、工艺、劳动防护用品违反规定的处罚</t>
  </si>
  <si>
    <t>【法律】《安全生产法》（2014年修正本）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（四）未为从业人员提供符合国家标准或者行业标准的劳动防护用品的；
　　（五）危险物品的容器、运输工具，以及涉及人身安全、危险性较大的海洋石油开采特种设备和矿山井下特种设备未经具有专业资质的机构检测、检验合格，取得安全使用证或者安全标志，投入使用的；
　　（六）使用应当淘汰的危及生产安全的工艺、设备的。</t>
  </si>
  <si>
    <t>3200-B-24500-140602</t>
  </si>
  <si>
    <t>对煤矿擅自开采保安煤柱或采用危及相邻煤矿生产安全的危险方法进行采矿作业的处罚</t>
  </si>
  <si>
    <t>【法律】《煤炭法》（2016年修正本，中华人民共和国主席令第十八号本）                                                                                                                                                                
    第二十四条第二款  采矿作业不得擅自开采保安煤柱，不得采用可能危及相邻煤矿生产安全的决水、爆破、贯通巷道等危险方法。                                                                              
   第五十八条
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t>
  </si>
  <si>
    <t>3200-B-24600-140602</t>
  </si>
  <si>
    <t>对开采煤炭资源不符合煤矿开采规程，不遵守合理的开采顺序，未达到规定的煤炭资源回采率的处罚</t>
  </si>
  <si>
    <t>【法律】《煤炭法》（2016年修正本，中华人民共和国主席令第十八号 ）                                                                                                                                                                
    第二十二条第一款  开采煤炭资源必须符合煤矿开采规程，遵守合理的开采顺序，达到规定的煤炭资源回采率。                                                                                        
    第五十七条  违反本法第二十二条的规定，开采煤炭资源未达到国务院煤炭管理部门规定的煤炭资源回采率的，由煤炭管理部门责令限期改正；逾期仍达不到规定的回采率的，责令停止生产。</t>
  </si>
  <si>
    <t>3200-B-24700-140602</t>
  </si>
  <si>
    <t>对非法违法煤矿及其发生死亡事故的处罚</t>
  </si>
  <si>
    <t>【地方性规章】《山西省非法违法煤矿行政处罚规定》（山西省人民政府令第183号）
   第五条  非法违法煤矿的负责人和实际控制人，构成犯罪的，依法追究刑事责任；尚不够刑事处罚的，由县级以上煤炭行政主管部门处以20万元罚款。
   第六条  非法违法煤矿企业发生死亡事故，除按照有关规定对死亡职工给予不低于每人20万元的赔偿外，每死亡1人由县级以上煤炭行政主管部门处以100万元的罚款。</t>
  </si>
  <si>
    <t>3200-B-24800-140602</t>
  </si>
  <si>
    <t>对煤矿企业拒不执行煤矿安全生产监督管理部门或者煤矿安全监察机构依法下达的执法指令的处罚</t>
  </si>
  <si>
    <t>1.【行政法规】《国务院关于预防煤矿生产安全事故的特别规定》（国务院令第446号）
    第十八条  煤矿拒不执行县级以上地方人民政府负责煤矿安全生产监督管理的部门或者煤矿安全监察机构依法下达的执法指令的，由颁发证照的部门吊销矿长资格证和矿长安全资格证；构成违反治安管理行为的，由公安机关依照治安管理的法律、行政法规的规定处罚；构成犯罪的，依法追究刑事责任。
2.【部门规章】《安全生产违法行为行政处罚办法 》（国家安全生产监督管理总局令第 15 号）
    第四十五条第七项  生产经营单位及其主要负责人或者其他人员有下列行为之一的，给予警告，并可以对生产经营单位处1万元以上3万元以下罚款，对其主要负责人、其他有关人员处1千元以上1万元以下的罚款： 
   （十）拒不执行安全监管监察部门及其行政执法人员的安全监管监察指令的。</t>
  </si>
  <si>
    <t>3200-B-24900-140602</t>
  </si>
  <si>
    <t>对煤矿瞒报、漏报、谎报安全生产事故的处罚</t>
  </si>
  <si>
    <t>1.【法律】《安全生产法》
   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2.【行政法规】《生产安全事故报告和调查处理条例 》（国务院令第493号）
   第三十五条第二项　事故发生单位主要负责人有下列行为之一的，处上一年年收入40%至80%的罚款；属于国家工作人员的，并依法给予处分；构成犯罪的，依法追究刑事责任：
  （二）迟报或者漏报事故的。</t>
  </si>
  <si>
    <t>3200-B-25000-140602</t>
  </si>
  <si>
    <t>对责令停产停建整顿的煤矿擅自从事生产建设，违反相关规定的处罚</t>
  </si>
  <si>
    <t>【行政法规】《国务院关于预防煤矿生产安全事故的特别规定》（国务院令第446号）
   第十一条第三款 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t>
  </si>
  <si>
    <t>3200-B-25100-140602</t>
  </si>
  <si>
    <t>对未对从业人员进行安全生产教育和培训，未如实记录安全生产教育和培训情况，未建立健全从业人员培训档案的处罚</t>
  </si>
  <si>
    <t>【行政法规】《国务院关于预防煤矿生产安全事故的特别规定》（国务院令第446号）
    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
　　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t>
  </si>
  <si>
    <t>3200-B-25200-140602</t>
  </si>
  <si>
    <t>对煤矿存在重大安全隐患仍进行生产的处罚</t>
  </si>
  <si>
    <t>【行政法规】《国务院关于预防煤矿生产安全事故的特别规定》（国务院令第446号）
    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
　  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
    第八条 第二款  第一、二、四、五、六、七、九、十、十二、十四、十五项 （一）超能力、超强度或者超定员组织生产的；（二）瓦斯超限作业的；（四）高瓦斯矿井未建立瓦斯抽放系统和监控系统，或者瓦斯监控系统不能正常运行的；（五）通风系统不完善、不可靠的；（六）有严重水患，未采取有效措施的；（七）超层越界开采的；（九）自然发火严重，未采取有效措施的；（十）使用明令禁止使用或者淘汰的设备、工艺的；（十二）新建煤矿边建设边生产，煤矿改扩建期间，在改扩建的区域生产，或者在其他区域的生产超出安全设计规定的范围和规模的；（十四）煤矿改制期间，未明确安全生产责任人和安全管理机构的，或者在完成改制后，未重新取得或者变更采矿许可证、安全生产许可证、煤炭生产许可证和营业执照的；（十五）有其他重大安全生产隐患的。</t>
  </si>
  <si>
    <t>3200-B-25300-140602</t>
  </si>
  <si>
    <t>对建设单位未取得施工许可证或者开工报告批复，擅自进行施工的处罚</t>
  </si>
  <si>
    <t>【行政法规】《建设工程质量管理条例》（2019年修订，国务院令第279号）
    第五十七条　违反本条例规定，建设单位未取得施工许可证或者开工报告未经批准，擅自施工的，责令停止施工，限期改正，处工程合同价款百分之一以上百分之二以下的罚款。</t>
  </si>
  <si>
    <t>行政强制</t>
  </si>
  <si>
    <t>3200-C-00100-140602</t>
  </si>
  <si>
    <t>对检查中发现的事故隐患的责令排除，对重大事故隐患排除前或者排除过程中无法保证安全的责令从危险区域内撤出作业人员和暂时停产停业或者停止使用</t>
  </si>
  <si>
    <t>【法律】《中华人民共和国安全生产法》
    第六十二条  负有安全生产监督管理职责的部门依法对生产经营单位执行有关安全生产的法律、法规和国家标准或者行业标准的情况进行监督检查，行使以下职权：（三）对检查中发现的事故隐患，应当责令立即排除；重大事故隐患排除前或者排除过程中无法保证安全的，应当责令从危险区域内撤出作业人员，责令暂时停产停业或者停止使用；重大事故隐患排除后，经审查同意，方可恢复生产经营和使用。</t>
  </si>
  <si>
    <r>
      <rPr>
        <sz val="10"/>
        <rFont val="黑体"/>
        <charset val="134"/>
      </rPr>
      <t>1.立案责任：</t>
    </r>
    <r>
      <rPr>
        <sz val="10"/>
        <rFont val="宋体"/>
        <charset val="134"/>
      </rPr>
      <t xml:space="preserve">在检查中或者事故调查中发现、或者接到举报的，重大事故隐患排除前或者排除过程中无法保证安全的违法案件，应予以审查，决定是否立案。
</t>
    </r>
    <r>
      <rPr>
        <sz val="10"/>
        <rFont val="黑体"/>
        <charset val="134"/>
      </rPr>
      <t>2.调查责任：</t>
    </r>
    <r>
      <rPr>
        <sz val="10"/>
        <rFont val="宋体"/>
        <charset val="134"/>
      </rPr>
      <t xml:space="preserve">对已经立案的案件，进行调查时，执法人员不得少于两人，与当事人有直接利害关系的应当回避。调查时应出示执法证件，收集相关证据，允许当事人辩解陈述，执法人员应保守有关秘密。
</t>
    </r>
    <r>
      <rPr>
        <sz val="10"/>
        <rFont val="黑体"/>
        <charset val="134"/>
      </rPr>
      <t>3.审查责任：</t>
    </r>
    <r>
      <rPr>
        <sz val="10"/>
        <rFont val="宋体"/>
        <charset val="134"/>
      </rPr>
      <t xml:space="preserve">案件调查人员提出拟处理意见，报领导批准后决定是否予以强制措施。
</t>
    </r>
    <r>
      <rPr>
        <sz val="10"/>
        <rFont val="黑体"/>
        <charset val="134"/>
      </rPr>
      <t>4.告知责任：</t>
    </r>
    <r>
      <rPr>
        <sz val="10"/>
        <rFont val="宋体"/>
        <charset val="134"/>
      </rPr>
      <t>在做出行政强制决定时，通知当事人到场，当场告知当事人采取行政强制措施的理由、依据以及当事人依法享有的权利、救济途径，听取当事人的陈述和申辩，制作现场笔录。
5.执行责任：制作并当场交付采取强制措施决定书和清单。重大事故隐患排除后，经审查同意，方可恢复生产经营和使用。
6.其他：法律法规规章规定应履行的责任。</t>
    </r>
  </si>
  <si>
    <t>1.【法律】《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2.同1；3.同1；4.同1；
5.【法律】《行政强制法》第十九条“情况紧急，需要当场实施行政强制措施的，行政执法人员应当在二十四小时内向行政机关负责人报告，并补办批准手续，行政机关负责人认为不应当采取行政强制措施的，应当立即解除。”</t>
  </si>
  <si>
    <t>3200-C-00200-140602</t>
  </si>
  <si>
    <t>对有根据认为不符合保障安全生产的国家标准或者行业标准的设施、设备、器材以及违法生产、储存、使用、经营、运输的危险物品的查封、扣押</t>
  </si>
  <si>
    <t>1.【法律】《安全生产法》（2002年6月通过，2014年8月修订）第六十二条：“负 有安全生产监督管理职责的部门依法对生产经营单位执行有关安全生产的法律、法 规和国家标准或者行业标准的情况进行监督检查，行使以下职权：……（四）对有 根据认为不符合保障安全生产的国家标准或者行业标准的设施、设备、器材以及违 法生产、储存、使用、经营、运输的危险物品予以查封或者扣押，对违法生产、储 存、使用、经营危险物品的作业场所予以查封，并依法作出处理决定。” 2.【行政法规】《危险化学品安全管理条例》（2002年1月国务院令第344号，2013 年12月修订）第七条：“负有危险化学品安全监督管理职责的部门依法进行监督检 查，可以采取下列措施：（四）经本部门主要负责人批准，查封违法生产、储存、 使用、经营危险化学品的场所，扣押违法生产、储存、使用、经营、运输的危险化 学品以及用于违法生产、使用、运输危险化学品的原材料、设备、运输工具。” 3.【行政法规】《易制毒化学品管理条例》（2005年8月国务院令第445号，2016年 修订版）第三十二条：“前款规定的行政主管部门在进行易制毒化学品监督检查 时，可以依法查看现场、查阅和复制有关资料、记录有关情况、扣押相关的证据材 料和违法物品；必要时，可以临时查封有关场所。” 4.【部门规章】《非药品类易制毒化学品生产、经营许可办法》（2006年3月原国家 安全监管总局令第5号）第二十五条第二款：“县级以上人民政府安全生产监督管理 部门对非药品类易制毒化学品的生产、经营活动进行监督检查时，可以查看现场、 查阅和复制有关资料、记录有关情况、扣押相关的证据材料和违法物品；必要时， 可以临时查封有关场所。”5.《安全生产违法行为行政处罚办法》（原国家安全监管总局令第15号，2015年4月 修正）第十五条：“对有根据认为不符合安全生产的国家标准或者行业标准的在用 设施、设备、器材，违法生产、储存、使用、经营、运输的危险物品，以及违法生 产、储存、使用、经营危险物品的作业场所，安全监管监察部门应当依照《行政强 制法》的规定予以查封或者扣押。” 6.【部门规章】《安全生产监管监察职责和行政执法责任追究的暂行规定》（2009 年5月原安监总局令第24号，2015年1月修订）第十一条：“安全监管监察部门在监 督检查中，发现生产经营单位存在安全生产非法、违法行为的，有权依法采取下列 行政强制措施：（一）对有根据认为不符合安全生产的国家标准或者行业标准的在 用设施、设备、器材，予以查封或者扣押，并应当在作出查封、扣押决定之日起15 日内依法作出处理决定；（二）扣押相关的证据材料和违法物品，临时查封有关场 所；（三）法律、法规规定的其他行政强制措施。实施查封、扣押的，应当当场下 达查封、扣押决定书和被查封、扣押的财物清单。在交通不便地区，或者不及时查 封、扣押可能影响案件查处，或者存在事故隐患可能造成生产安全事故的，可以先 行实施查封、扣押，并在48小时内补办查封、扣押决定书，送达当事人。”</t>
  </si>
  <si>
    <r>
      <rPr>
        <sz val="10"/>
        <rFont val="黑体"/>
        <charset val="134"/>
      </rPr>
      <t>1.立案责任：</t>
    </r>
    <r>
      <rPr>
        <sz val="10"/>
        <rFont val="宋体"/>
        <charset val="134"/>
      </rPr>
      <t xml:space="preserve">在检查中或者事故调查过程中发现、或者接到举报、或者下级安全监管部门移交的，对拒不执行安监指令，有发生安全事故的现实危险的生产经营单位实施停止供电、停止供应民用爆破物品等强制措施的违法案件，予以审查，决定是否立案。
</t>
    </r>
    <r>
      <rPr>
        <sz val="10"/>
        <rFont val="黑体"/>
        <charset val="134"/>
      </rPr>
      <t>2.调查责任：</t>
    </r>
    <r>
      <rPr>
        <sz val="10"/>
        <rFont val="宋体"/>
        <charset val="134"/>
      </rPr>
      <t xml:space="preserve">对已经立案的案件，进行调查时，执法人员不得少于两人，与当事人有直接利害关系的应当回避。调查时应出示执法证件，收集相关证据，允许当事人辩解陈述，执法人员应保守有关秘密。
</t>
    </r>
    <r>
      <rPr>
        <sz val="10"/>
        <rFont val="黑体"/>
        <charset val="134"/>
      </rPr>
      <t>3.审查责任：</t>
    </r>
    <r>
      <rPr>
        <sz val="10"/>
        <rFont val="宋体"/>
        <charset val="134"/>
      </rPr>
      <t xml:space="preserve">案件调查人员提出拟处理意见，报领导批准后决定是否予以强制措施。
</t>
    </r>
    <r>
      <rPr>
        <sz val="10"/>
        <rFont val="黑体"/>
        <charset val="134"/>
      </rPr>
      <t>4.告知责任：</t>
    </r>
    <r>
      <rPr>
        <sz val="10"/>
        <rFont val="宋体"/>
        <charset val="134"/>
      </rPr>
      <t xml:space="preserve">在做出行政强制决定时，通知当事人到场，当场告知当事人采取行政强制措施的理由、依据以及当事人依法享有的权利、救济途径，听取当事人的陈述和申辩，制作现场笔录。
</t>
    </r>
    <r>
      <rPr>
        <sz val="10"/>
        <rFont val="黑体"/>
        <charset val="134"/>
      </rPr>
      <t>5.执行责任：</t>
    </r>
    <r>
      <rPr>
        <sz val="10"/>
        <rFont val="宋体"/>
        <charset val="134"/>
      </rPr>
      <t xml:space="preserve">制作并当场交付采取强制措施决定书和清单,送有关单位协助执行
</t>
    </r>
    <r>
      <rPr>
        <sz val="10"/>
        <rFont val="黑体"/>
        <charset val="134"/>
      </rPr>
      <t>6.其他：</t>
    </r>
    <r>
      <rPr>
        <sz val="10"/>
        <rFont val="宋体"/>
        <charset val="134"/>
      </rPr>
      <t>法律法规规章规定应履行的责任。</t>
    </r>
  </si>
  <si>
    <t>1-1.【法律】《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1-2.【法律】《行政强制法》第二十五条“查封、扣押的期限不得超过三十日；情况复杂的，经行政机关负责人批准，可以延长，但是延长期限不得超过三十日。法律、行政法规另有规定的除外。”
2.同1
3.同1
4.同1
5-1.【法律】《行政强制法》第二十四条“行政机关决定实施查封、扣押的，应当履行本法第十八条规定的程序，制作并当场交付查封、扣押决定书和清单。查封、扣押决定书应当载明下列事项：……查封、扣押清单一式二份，由当事人和行政机关分别保存。”
5-2.【部门规章】《安全生产违法行为行政处罚办法》（2007年国家安全监管总局令第15号，2015年4月2日修订）第十六条“安全监管监察部门依法对存在重大事故隐患的生产经营单位作出停产停业、停止施工、停止使用相关设施、设备的决定，生产经营单位应当依法执行，及时消除事故隐患。生产经营单位拒不执行，有发生生产安全事故的现实危险的，在保证安全的前提下，经本部门主要负责人批准，安全监管监察部门可以采取通知有关单位停止供电、停止供应民用爆炸物品等措施，强制生产经营单位履行决定。通知应当采用书面形式，有关单位应当予以配合。安全监管监察部门依照前款规定采取停止供电措施，除有危及生产安全的紧急情形外，应当提前24小时通知生产经营单位。生产经营单位依法履行行政决定、采取相应措施消除事故隐患的，安全监管监察部门应当及时解除前款规定的措施。”</t>
  </si>
  <si>
    <t>3200-C-00300-140602</t>
  </si>
  <si>
    <t>对拒不执行安监指令，有发生安全事故的现实危险的生产经营单位实施停止供电、停止供应民用爆破物品等强制措施</t>
  </si>
  <si>
    <t>【法律】《中华人民共和国安全生产法》
    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</si>
  <si>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r>
      <rPr>
        <sz val="10"/>
        <rFont val="黑体"/>
        <charset val="134"/>
      </rPr>
      <t>1.立案责任：</t>
    </r>
    <r>
      <rPr>
        <sz val="10"/>
        <rFont val="宋体"/>
        <charset val="134"/>
      </rPr>
      <t xml:space="preserve">在检查中或者事故调查中发现、或者接到举报的，重大事故隐患排除前或者排除过程中无法保证安全的违法案件，应予以审查，决定是否立案。
</t>
    </r>
    <r>
      <rPr>
        <sz val="10"/>
        <rFont val="黑体"/>
        <charset val="134"/>
      </rPr>
      <t>2.调查责任：</t>
    </r>
    <r>
      <rPr>
        <sz val="10"/>
        <rFont val="宋体"/>
        <charset val="134"/>
      </rPr>
      <t>对已经立案的案件，进行调查时，执法人员不得少于两人，与当事人有直接利害关系的应当回避。调查时应出示执法证件，收集相关证据，允许当事人辩解陈述，执法人员应保守有关秘密。
3.审查责任：案件调查人员提出拟处理意见，报领导批准后决定是否予以强制措施。
4.告知责任：在做出行政强制决定时，通知当事人到场，当场告知当事人采取行政强制措施的理由、依据以及当事人依法享有的权利、救济途径，听取当事人的陈述和申辩，制作现场笔录。
5.执行责任：制作并当场交付采取强制措施决定书和清单。重大事故隐患排除后，经审查同意，方可恢复生产经营和使用。
6.其他：法律法规规章规定应履行的责任。</t>
    </r>
  </si>
  <si>
    <t>1.【法律】《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2.同1
3.同1
4.同1
5.【法律】《安全生产法》第六十七条第一款“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</si>
  <si>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3200-C-00400-140602</t>
  </si>
  <si>
    <t>先行登 记保存</t>
  </si>
  <si>
    <t>1.【法律】《行政处罚法》（1996年3月通过，2017年9月修订）第四十二条：“行 政机关在调查或者进行检查时，执法人员不得少于两人，并应当向当事人或者有关 人员出示证件。当事人或者有关人员应当如实回答询问，并协助调查或者检查，不 得阻挠。询问或者检查应当制作笔录。 行政机关在收集证据时，可以采取抽样取证的方法；在证据可能灭失或者以后 难以取得的情况下，经行政机关负责人批准，可以先行登记保存，并应当在七日内 及时作出处理决定，在此期间，当事人或者有关人员不得销毁或者转移证据。”2.【部门规章】《安全生产违法行为行政处罚办法》（2007年11月原国家安全监管 总局令第15号，2015年1月修订）第二十七条：“安全生产行政执法人员在收集证据 时，可以采取抽样取证的方法；在证据可能灭失或者以后难以取得的情况下，经本 单位负责人批准，可以先行登记保存，并应当在7日内作出处理决定：（一）违法事 实成立依法应当没收的，作出行政处罚决定，予以没收；依法应当扣留或者封存 的，予以扣留或者封存；（二）违法事实不成立，或者依法不应当予以没收、扣留 、封存的，解除登记保存。”</t>
  </si>
  <si>
    <t>依法依规履行告知、决定、执 行等责任。</t>
  </si>
  <si>
    <t>1.【法律】《安全生产法》（2002 年6月通过，2014年8月修订）第八 十七条：“负有安全生产监督管理 职责的部门的工作人员，有下列行 为之一的，给予降级或者撤职的处 分；构成犯罪的，依照刑法有关规 定追究刑事责任：……（四）在监 督检查中发现重大事故隐患，不依 法及时处理的。” 
2.【其他法律法规规章】《监察法 》《行政处罚法》 《行政强制法》《行政机关公务员处分条例》《政府信 息公开条例》等规定的追责情形</t>
  </si>
  <si>
    <t>行政给付</t>
  </si>
  <si>
    <t>3200-G-00100-140602</t>
  </si>
  <si>
    <t>自然灾害生活救助资金给付</t>
  </si>
  <si>
    <t xml:space="preserve">1.【行政法规】《自然灾害救助条例》（2012年7月8日国务院令第577号，2019年3月国务院令第709号修订）第二十条：“居民住房恢复重建补助对象由受灾人员本人申请或者由村民小组、居民小组提名。经村民委员会、居民委员会民主评议，符合救助条件的，在自然村、社区范围内公示；无异议或者经村民委员会、居民委员会民主评议异议不成立的，由村民委员会、居民委员会将评议意见和有关材料提交乡镇人民政府、街道办事处审核，报县级人民政府应急管理等部门审批。”第二十一条第一款：“自然灾害发生后的当年冬季、次年春季，受灾地区人民政府应当为生活困难的受灾人员提供基本生活救助。”
第二十五条：“自然灾害救助款物应当用于受灾人员的紧急转移安置，基本生活救助，医疗救助，教育、医疗等公共服务设
施和住房的恢复重建，自然灾害救助物资的采购、储存和运输，以及因灾遇难人员亲属的抚慰等项支出。”
</t>
  </si>
  <si>
    <t>直接实施责任：
1.公开申请或提报自然灾害生活救助需要提供的材料，公布办理流程。
2.对乡镇人民政府、街道办事处申报自然灾害生活救助提供的相关书面材料进行审核。
3.根据核查情况，依法依规作出是否批准的决定。
4.对符合条件的，依法发放自然灾害生活救助资金。对不符合条件的，需要说明理由和依据。</t>
  </si>
  <si>
    <t>1。【行政法规】《自然灾害救助条例》（2012年7月8日国务院令第577号，2019年3月国务院令第709号修订）第二十九条:"行政机关工作人员违反本条例规定，有下列行为之一的，由任免机关或者监察机关依照法律法规给予处分；构成犯罪
的，依法追究刑事责任:（一）迟报、谎报、瞒报自然灾害损失情况，造成后果的；（二）未及时组织受灾人员转移安置，或者在提供基本生活救助、组织恢复重建过程中工作不力，造成后果的；（三）截留、挪用、私分自然灾害救助款物或者捐赠款物的（四）不及时归还征用的财产，或者不按照规定给予补偿的；（五）有滥用职权、玩忽职守、徇私舞弊的其他行为的。"
2.【其他法律法规规章】《监察法》《行政机关公务员处分条例》等规定的追责情形。</t>
  </si>
  <si>
    <t>行政奖励</t>
  </si>
  <si>
    <t>3200-H-00100-140602</t>
  </si>
  <si>
    <t>对安全生产作出突出贡献的单位和个人给予表彰和奖励</t>
  </si>
  <si>
    <t>1.【法律】《安全生产法》（2002年6月29日第九届全国人民 代表大会常务委员会第二十八次会议通过、2014年8月31日第 二次修正）第七十三条：“县级以上各级人民政府及其有关部 门对报告重大事故隐患或者举报安全生产违法行为的有功人 员，给予奖励。具体奖励办法由国务院安全生产监督管理部门 会同国务院财政部门制定。” 
2.【部门规章】《生产安全事故应急预案管理办法》（2016年 6月3日原国家安全生产监督管理总局令第88号公布、自2016年 7月1日起施行）第四十三条：“对于在应急预案管理工作中做 出显著成绩的单位和人员，安全生产监督管理部门、生产经营 单位可以给予表彰和奖励。”</t>
  </si>
  <si>
    <t>1.及时公开奖励方案、奖励标准、审核流程 等内容。 
2.依法依规开展评比活动，做出表彰奖励决 定。
3.按照规定程序执行表彰奖励决定。</t>
  </si>
  <si>
    <t>1.【法律】《安全生产法》（2002年6月29日第九届全 国人民代表大会常务委员会第二十八次会议通过、 2014年8月31日第二次修正）第八十七条第二款：“负 有安全生产监督管理职责的部门的工作人员有前款规 定以外的滥用职权、玩忽职守、徇私舞弊行为的，依 法给予处分；构成犯罪的，依照刑法有关规定追究刑 事责任。”</t>
  </si>
  <si>
    <t>3200-H-00200-140602</t>
  </si>
  <si>
    <t>对应急管理作出突出贡献的单位和个人给予表彰和奖励</t>
  </si>
  <si>
    <t>1.【法律】《突发事件应对法》（2007年8月30日中华人民共 和国主席令第69号公布、2007年11月1日起施行）第六十一条 第三款：“公民参加应急救援工作或者协助维护社会秩序期 间，其在本单位的工资待遇和福利不变；表现突出、成绩显著 的，由县级以上人民政府给予奖励。” 2.【法律】《防震减灾法》（1997年12月29日通过，2008年12 月27日修订）第十一条第二款：“对在防震减灾工作中做出突 出贡献的单位和个人，按照国家有关规定给予表彰和奖励。” 
3.【行政法规】《森林防火条例》（国务院令第541号）第十 二条第二款：“对在扑救重大、特别重大森林火灾中表现突出 的单位和个人，可以由森林防火指挥机构当场给予表彰和奖励 。”
4.《自然灾害救助条例》（2012年7月8日国务院令第577号， 2019年3月国务院令第709号修订）第七条：“对在自然灾害救 助中作出突出贡献的单位和个人，按照国家有关规定给予表彰 和奖励。” 
5.【行政法规】《破坏性地震应急条例》（国务院令第 172号）第三十六条：“在破坏性地震应急活动中有下列事迹 之一的，由其所在单位、上级机关或者防震减灾工作主管部门 给予表彰或者奖励。”</t>
  </si>
  <si>
    <t>1.及时公开奖励方案、奖励标准、审核流程 等内容。 2.依法依规开展评比活动，做出表彰奖励决 定。3.按照规定程序执行表彰奖励决定。</t>
  </si>
  <si>
    <t>1.【法律】《防震减灾法》（1997年12月29日第八届 全国人民代表大会常务委员会第二十九次会议通过、 1997年12月29日中华人民共和国主席令第94号公布、 2008年12月27日第十一届全国人民代表大会常务委员 会第六次会议修订通过、2008年12月27日中华人民共 和国主席令第7号公布、自2009年5月1日起施行）第八 十二条：“国务院地震工作主管部门、县级以上地方 人民政府负责管理地震工作的部门或者机构，以及其 他依照本法规定行使监督管理权的部门，不依法作出 行政许可或者办理批准文件的，发现违法行为或者接 到对违法行为的举报后不予查处的，或者有其他未依 照本法规定履行职责的行为的，对直接负责的主管人 员和其他直接责任人员，依法给予处分。”
 2.【行政法规】《森林防火条例》（1988年1月16日国 务院发布 2008年11月19日国务院第36次常务会议修 订通过、2008年12月1日中华人民共和国国务院令第 541号公布、自2009年1月1日起施行）第四十七条：“ 违反本条例规定，县级以上地方人民政府及其森林防 火指挥机构、县级以上人民政府林业主管部门或者其 他有关部门及其工作人员，有下列行为之一的，由其 上级行政机关或者监察机关责令改正；情节严重的， 对直接负责的主管人员和其他直接责任人员依法给予 处分；构成犯罪的，依法追究刑事责任：（六）不依 法履行职责的其他行为。”</t>
  </si>
  <si>
    <t>其他职权类</t>
  </si>
  <si>
    <t>3200-Z-00100-140602</t>
  </si>
  <si>
    <t>第三类非药品类易制毒化学品经营备案</t>
  </si>
  <si>
    <t>【行政法规】《易制毒化学品管理条例》（2005年国务院令第445号）
  第十三条  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t>
  </si>
  <si>
    <t>1.受理责任：公示依法应当提交的材料；一次性告知补正材料；依法受理或不予受理（不予受理应当告知理由）。
2.审查责任：材料审核（《非药品类易制毒化学品生产、经营许可办法》2006年国家安全监管总局令第5号）规定的材料，提出初审意见。                           3.决定责任：经审查，符合要求的，予以备案。不答合要求的，不予备案，并说明要求。
4.事后监管责任：加强对经营企业的监督检查，使其经营活动按照法律法规的规定开展。有关情况发生变化时要及时办理变更手续。
5.其他：法律法规规章规定应履行的责任。</t>
  </si>
  <si>
    <t>1-1.【行政法规】《危险化学品安全管理条例》（2013年修订国务院令第591号）第二十二条“生产、储存危险化学品的企业，应当将安全评价报告以及整改方案的落实情况报所在地县级安监部门备案”
1-2【行政法规】《危险化学品安全管理条例》（2013年修订国务院令第591号）第二十五条第二款“对剧毒化学品以及储存数量构成重大危险源的其他危险化学品，储存单位应当将其储存数量。储存地点以及管理人员的情况，报所在地县级安监部门备案。” 
 2.【行政法规】《危险化学品安全管理条例》（2013年修订国务院令第591号）提交的材料进行审查，提出审查意见。
 3.【行政法规】按照《危险化学品安全管理条例》（2013年修订国务院令第591号）决定予以备案。
 4.【法律】《安全生产法》第三十七条第二款“生产经营单位应当按照国家有关规定将本单位重大危险源及有关安全措施、应急措施报有关地方人民政府安全生产监督管理部门和有关部门备案。”</t>
  </si>
  <si>
    <t>3200-Z-00200-140602</t>
  </si>
  <si>
    <t>对重大危险源（危险化学品类）安全措施备案</t>
  </si>
  <si>
    <t>【部门规章】《危险化学品重大危险源监督管理暂行规定》（2015年修订国家安监总局令第40号）
    第二十三条第一款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t>
  </si>
  <si>
    <t>1、受理责任：公示依法应当提交的材料；一次性告知补正材料；依法受理或不予受理（不予受理应当告知理由）。
2、审查责任：材料审核（包括《危险化学品重大危险源监督管理暂行规定》国家安全监管总局令40号规定的材料），重大危险源备案申请表，连同本规定第二十二条规定的重大危险源档案材料。
3、决定责任：作出是否批准的决定（不予批准的应当告知理由），按时办结，告知。
4、送达责任：制作批准决定相关文书，规定时间内送达。
5、事后监管责任：加强对危险化学品企业的监督检查，使其按照法律法规的规定严格落实各项措施。
6、其他：法律法规规章规定应履行的责任。</t>
  </si>
  <si>
    <t xml:space="preserve">1.【部门规章】按照《危险化学品重大危险源监督管理暂行规定》（2015年修订国家安监总局令第40号）第二十二条“危险化学品单位应当对辨识确认的重大危险源及时、逐项进行登记建档。重大危险源档案应当包括下列文件、资料：（一）辨识、分级记录；（二）重大危险源基本特征表；（三）涉及的所有化学品安全技术说明书；（四）区域位置图、平面布置图、工艺流程图和主要设备一览表；（五）重大危险源安全管理规章制度及安全操作规程；（六）安全监测监控系统、措施说明、检测、检验结果；（七）重大危险源事故应急预案、评审意见、演练计划和评估报告；（八）安全评估报告或者安全评价报告；（九）重大危险源关键装置、重点部位的责任人、责任机构名称；（十）重大危险源场所安全警示标志的设置情况；（十一）其他文件、资料。”
2.同1 
3-1.【行政法规】《危险化学品安全管理条例》（2013年修订国务院令第591号） 第二十二条“生产、储存危险化学品的企业，应当将安全评价报告以及整改方案的落实情况报所在地县级安监部门备案，”
3-2【行政法规】《危险化学品安全管理条例》（2013年修订国务院令第591号） 第二十五条第二款“对剧毒化学品以及储存数量构成重大危险源的其他危险化学品，储存单位应当将其储存数量。储存地点以及管理人员的情况，报所在地县级安监部门备案。” 
4.【法律】《安全生产法》第三十七条第二款“生产经营单位应当按照国家有关规定将本单位重大危险源及有关安全措施.应急措施报有关地方人民政府安全生产监督管理部门和有关部门备案。”                                        </t>
  </si>
  <si>
    <t>3200-Z-00300-140602</t>
  </si>
  <si>
    <t>生产经营单位生产安全事故应急预案备案</t>
  </si>
  <si>
    <t>【部门规章】《生产安全事故应急预案管理办法》（2019年应急管理部令第2号修订）
第二十一条 矿山、金属冶炼企业和易燃易爆物品、危险化学品的生产、经营（带储存设施的，下同）、储存、运输企业，以及使用危险化学品达到国家规定数量的化工企业、烟花爆竹生产、批发经营企业和中型规模以上的其他生产经营单位，应当对本单位编制的应急预案进行评审，并形成书面评审纪要。
前款规定以外的其他生产经营单位可以根据自身需要，对本单位编制的应急预案进行论证。
第二十四条 生产经营单位的应急预案经评审或者论证后，由本单位主要负责人签署，向本单位从业人员公布，并及时发放到本单位有关部门、岗位和相关应急救援队伍。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</si>
  <si>
    <t>1、受理责任：公示依法应当提交的材料；一次性告知补正材料；依法受理或不予受理（不予受理应当告知理由）。
2、审查责任：材料审核（包括《生产安全事故应急预案管理办法》（2019年应急管理部令第2号修订）规定的材料）。
3、决定责任：作出是否批准的决定（不予批准的应当告知理由），按时办结，告知。
4、送达责任：制作批准决定相关文书，规定时间内送达。
5、事后监管责任：加强对企业应急预案演练的监督检查，使其按照法律法规的规定严格落实各项措施。
6、其他：法律法规规章规定应履行的责任。</t>
  </si>
  <si>
    <t>【部门规章】《生产安全事故应急预案管理办法》（2019年应急管理部令第2号修订）第四十一条 各级人民政府应急管理部门和煤矿安全监察机构应当将生产经营单位应急预案工作纳入年度监督检查计划，明确检查的重点内容和标准，并严格按照计划开展执法检查。</t>
  </si>
  <si>
    <t>3200-Z-00400-140602</t>
  </si>
  <si>
    <t xml:space="preserve">转产、停产、停业或解散的危险化学品单位危险化学品生产装置、储存设施以及库存危险化学品处置方案 </t>
  </si>
  <si>
    <t>【行政法规】《危险化学品安全管理条例》（国务院令第591号）第二十七条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t>
  </si>
  <si>
    <t>1、受理责任：公示依法应当提交的材料；一次性告知补正材料；依法受理或不予受理（不予受理应当告知理由）。
2、审查责任：材料审核（包括《危险化学品安全管理条例》（国务院令第591号）规定的材料）。
3、事后监管责任：加强对危险化学品企业的监督检查，使其按照法律法规的规定严格落实各项措施。
4、其他：法律法规规章规定应履行的责任。</t>
  </si>
  <si>
    <t>【行政法规】《危险化学品安全管理条例》（2013年修订国务院令第591号）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</si>
</sst>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29">
    <font>
      <sz val="11"/>
      <color theme="1"/>
      <name val="宋体"/>
      <charset val="134"/>
      <scheme val="minor"/>
    </font>
    <font>
      <b/>
      <sz val="22"/>
      <name val="宋体"/>
      <charset val="134"/>
      <scheme val="minor"/>
    </font>
    <font>
      <sz val="11"/>
      <name val="宋体"/>
      <charset val="134"/>
      <scheme val="minor"/>
    </font>
    <font>
      <b/>
      <sz val="12"/>
      <name val="宋体"/>
      <charset val="134"/>
      <scheme val="minor"/>
    </font>
    <font>
      <b/>
      <sz val="11"/>
      <name val="微软雅黑"/>
      <charset val="134"/>
    </font>
    <font>
      <b/>
      <sz val="9"/>
      <name val="微软雅黑"/>
      <charset val="134"/>
    </font>
    <font>
      <b/>
      <sz val="11"/>
      <name val="宋体"/>
      <charset val="134"/>
      <scheme val="minor"/>
    </font>
    <font>
      <sz val="10"/>
      <name val="宋体"/>
      <charset val="134"/>
    </font>
    <font>
      <sz val="10"/>
      <name val="黑体"/>
      <charset val="134"/>
    </font>
    <font>
      <sz val="12"/>
      <name val="宋体"/>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s>
  <fills count="3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3">
    <border>
      <left/>
      <right/>
      <top/>
      <bottom/>
      <diagonal/>
    </border>
    <border>
      <left style="thin">
        <color rgb="FF000000"/>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0">
    <xf numFmtId="0" fontId="0" fillId="0" borderId="0">
      <alignment vertical="center"/>
    </xf>
    <xf numFmtId="42" fontId="0" fillId="0" borderId="0" applyFont="0" applyFill="0" applyBorder="0" applyAlignment="0" applyProtection="0">
      <alignment vertical="center"/>
    </xf>
    <xf numFmtId="0" fontId="10" fillId="28" borderId="0" applyNumberFormat="0" applyBorder="0" applyAlignment="0" applyProtection="0">
      <alignment vertical="center"/>
    </xf>
    <xf numFmtId="0" fontId="25" fillId="25"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10" borderId="0" applyNumberFormat="0" applyBorder="0" applyAlignment="0" applyProtection="0">
      <alignment vertical="center"/>
    </xf>
    <xf numFmtId="0" fontId="17" fillId="11" borderId="0" applyNumberFormat="0" applyBorder="0" applyAlignment="0" applyProtection="0">
      <alignment vertical="center"/>
    </xf>
    <xf numFmtId="43" fontId="0" fillId="0" borderId="0" applyFont="0" applyFill="0" applyBorder="0" applyAlignment="0" applyProtection="0">
      <alignment vertical="center"/>
    </xf>
    <xf numFmtId="0" fontId="18" fillId="24" borderId="0" applyNumberFormat="0" applyBorder="0" applyAlignment="0" applyProtection="0">
      <alignment vertical="center"/>
    </xf>
    <xf numFmtId="0" fontId="23"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17" borderId="8" applyNumberFormat="0" applyFont="0" applyAlignment="0" applyProtection="0">
      <alignment vertical="center"/>
    </xf>
    <xf numFmtId="0" fontId="18" fillId="30" borderId="0" applyNumberFormat="0" applyBorder="0" applyAlignment="0" applyProtection="0">
      <alignment vertical="center"/>
    </xf>
    <xf numFmtId="0" fontId="15"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0" fillId="0" borderId="6" applyNumberFormat="0" applyFill="0" applyAlignment="0" applyProtection="0">
      <alignment vertical="center"/>
    </xf>
    <xf numFmtId="0" fontId="12" fillId="0" borderId="6" applyNumberFormat="0" applyFill="0" applyAlignment="0" applyProtection="0">
      <alignment vertical="center"/>
    </xf>
    <xf numFmtId="0" fontId="18" fillId="23" borderId="0" applyNumberFormat="0" applyBorder="0" applyAlignment="0" applyProtection="0">
      <alignment vertical="center"/>
    </xf>
    <xf numFmtId="0" fontId="15" fillId="0" borderId="10" applyNumberFormat="0" applyFill="0" applyAlignment="0" applyProtection="0">
      <alignment vertical="center"/>
    </xf>
    <xf numFmtId="0" fontId="18" fillId="22" borderId="0" applyNumberFormat="0" applyBorder="0" applyAlignment="0" applyProtection="0">
      <alignment vertical="center"/>
    </xf>
    <xf numFmtId="0" fontId="19" fillId="16" borderId="7" applyNumberFormat="0" applyAlignment="0" applyProtection="0">
      <alignment vertical="center"/>
    </xf>
    <xf numFmtId="0" fontId="28" fillId="16" borderId="11" applyNumberFormat="0" applyAlignment="0" applyProtection="0">
      <alignment vertical="center"/>
    </xf>
    <xf numFmtId="0" fontId="11" fillId="8" borderId="5" applyNumberFormat="0" applyAlignment="0" applyProtection="0">
      <alignment vertical="center"/>
    </xf>
    <xf numFmtId="0" fontId="10" fillId="27" borderId="0" applyNumberFormat="0" applyBorder="0" applyAlignment="0" applyProtection="0">
      <alignment vertical="center"/>
    </xf>
    <xf numFmtId="0" fontId="18" fillId="15" borderId="0" applyNumberFormat="0" applyBorder="0" applyAlignment="0" applyProtection="0">
      <alignment vertical="center"/>
    </xf>
    <xf numFmtId="0" fontId="27" fillId="0" borderId="12" applyNumberFormat="0" applyFill="0" applyAlignment="0" applyProtection="0">
      <alignment vertical="center"/>
    </xf>
    <xf numFmtId="0" fontId="21" fillId="0" borderId="9" applyNumberFormat="0" applyFill="0" applyAlignment="0" applyProtection="0">
      <alignment vertical="center"/>
    </xf>
    <xf numFmtId="0" fontId="26" fillId="26" borderId="0" applyNumberFormat="0" applyBorder="0" applyAlignment="0" applyProtection="0">
      <alignment vertical="center"/>
    </xf>
    <xf numFmtId="0" fontId="24" fillId="21" borderId="0" applyNumberFormat="0" applyBorder="0" applyAlignment="0" applyProtection="0">
      <alignment vertical="center"/>
    </xf>
    <xf numFmtId="0" fontId="10" fillId="34" borderId="0" applyNumberFormat="0" applyBorder="0" applyAlignment="0" applyProtection="0">
      <alignment vertical="center"/>
    </xf>
    <xf numFmtId="0" fontId="18" fillId="14" borderId="0" applyNumberFormat="0" applyBorder="0" applyAlignment="0" applyProtection="0">
      <alignment vertical="center"/>
    </xf>
    <xf numFmtId="0" fontId="10" fillId="33" borderId="0" applyNumberFormat="0" applyBorder="0" applyAlignment="0" applyProtection="0">
      <alignment vertical="center"/>
    </xf>
    <xf numFmtId="0" fontId="10" fillId="7" borderId="0" applyNumberFormat="0" applyBorder="0" applyAlignment="0" applyProtection="0">
      <alignment vertical="center"/>
    </xf>
    <xf numFmtId="0" fontId="10" fillId="32" borderId="0" applyNumberFormat="0" applyBorder="0" applyAlignment="0" applyProtection="0">
      <alignment vertical="center"/>
    </xf>
    <xf numFmtId="0" fontId="10" fillId="6" borderId="0" applyNumberFormat="0" applyBorder="0" applyAlignment="0" applyProtection="0">
      <alignment vertical="center"/>
    </xf>
    <xf numFmtId="0" fontId="18" fillId="19" borderId="0" applyNumberFormat="0" applyBorder="0" applyAlignment="0" applyProtection="0">
      <alignment vertical="center"/>
    </xf>
    <xf numFmtId="0" fontId="18" fillId="13" borderId="0" applyNumberFormat="0" applyBorder="0" applyAlignment="0" applyProtection="0">
      <alignment vertical="center"/>
    </xf>
    <xf numFmtId="0" fontId="10" fillId="31" borderId="0" applyNumberFormat="0" applyBorder="0" applyAlignment="0" applyProtection="0">
      <alignment vertical="center"/>
    </xf>
    <xf numFmtId="0" fontId="10" fillId="5" borderId="0" applyNumberFormat="0" applyBorder="0" applyAlignment="0" applyProtection="0">
      <alignment vertical="center"/>
    </xf>
    <xf numFmtId="0" fontId="18" fillId="12" borderId="0" applyNumberFormat="0" applyBorder="0" applyAlignment="0" applyProtection="0">
      <alignment vertical="center"/>
    </xf>
    <xf numFmtId="0" fontId="10" fillId="4" borderId="0" applyNumberFormat="0" applyBorder="0" applyAlignment="0" applyProtection="0">
      <alignment vertical="center"/>
    </xf>
    <xf numFmtId="0" fontId="18" fillId="29" borderId="0" applyNumberFormat="0" applyBorder="0" applyAlignment="0" applyProtection="0">
      <alignment vertical="center"/>
    </xf>
    <xf numFmtId="0" fontId="18" fillId="18" borderId="0" applyNumberFormat="0" applyBorder="0" applyAlignment="0" applyProtection="0">
      <alignment vertical="center"/>
    </xf>
    <xf numFmtId="0" fontId="10" fillId="9" borderId="0" applyNumberFormat="0" applyBorder="0" applyAlignment="0" applyProtection="0">
      <alignment vertical="center"/>
    </xf>
    <xf numFmtId="0" fontId="18" fillId="20" borderId="0" applyNumberFormat="0" applyBorder="0" applyAlignment="0" applyProtection="0">
      <alignment vertical="center"/>
    </xf>
    <xf numFmtId="0" fontId="9" fillId="0" borderId="0"/>
  </cellStyleXfs>
  <cellXfs count="31">
    <xf numFmtId="0" fontId="0" fillId="0" borderId="0" xfId="0">
      <alignment vertical="center"/>
    </xf>
    <xf numFmtId="0" fontId="0" fillId="0" borderId="0" xfId="0" applyFill="1">
      <alignment vertical="center"/>
    </xf>
    <xf numFmtId="0" fontId="0" fillId="0" borderId="0" xfId="0" applyAlignment="1">
      <alignment horizontal="center" vertical="center"/>
    </xf>
    <xf numFmtId="0" fontId="0" fillId="0" borderId="0" xfId="0" applyAlignment="1">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3" fillId="2" borderId="1" xfId="0" applyFont="1" applyFill="1" applyBorder="1" applyAlignment="1">
      <alignment horizontal="left" vertical="center"/>
    </xf>
    <xf numFmtId="0" fontId="3" fillId="2" borderId="0" xfId="0" applyFont="1" applyFill="1" applyBorder="1" applyAlignment="1">
      <alignment horizontal="left" vertical="center"/>
    </xf>
    <xf numFmtId="0" fontId="4" fillId="2" borderId="2"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2" xfId="0" applyFont="1" applyBorder="1" applyAlignment="1">
      <alignment vertical="center"/>
    </xf>
    <xf numFmtId="0" fontId="2" fillId="0" borderId="2" xfId="0" applyFont="1" applyBorder="1" applyAlignment="1">
      <alignment vertical="center" wrapText="1"/>
    </xf>
    <xf numFmtId="0" fontId="3" fillId="2" borderId="0" xfId="0" applyFont="1" applyFill="1" applyBorder="1" applyAlignment="1">
      <alignment horizontal="center" vertical="center"/>
    </xf>
    <xf numFmtId="0" fontId="4" fillId="2" borderId="2" xfId="0" applyFont="1" applyFill="1" applyBorder="1" applyAlignment="1">
      <alignment horizontal="center" vertical="center"/>
    </xf>
    <xf numFmtId="0" fontId="2" fillId="0" borderId="3" xfId="0" applyFont="1" applyBorder="1" applyAlignment="1">
      <alignment vertical="center"/>
    </xf>
    <xf numFmtId="0" fontId="6" fillId="0" borderId="2" xfId="0" applyFont="1" applyBorder="1" applyAlignment="1">
      <alignment vertical="center"/>
    </xf>
    <xf numFmtId="0" fontId="6" fillId="0" borderId="2" xfId="0" applyFont="1" applyBorder="1" applyAlignment="1">
      <alignment vertical="center" wrapText="1"/>
    </xf>
    <xf numFmtId="0" fontId="6" fillId="0" borderId="2" xfId="0" applyFont="1" applyBorder="1" applyAlignment="1">
      <alignment horizontal="center" vertical="center"/>
    </xf>
    <xf numFmtId="0" fontId="7" fillId="0" borderId="2" xfId="0" applyFont="1" applyFill="1" applyBorder="1" applyAlignment="1">
      <alignment horizontal="center" vertical="center" wrapText="1"/>
    </xf>
    <xf numFmtId="0" fontId="7" fillId="0" borderId="2" xfId="0" applyFont="1" applyFill="1" applyBorder="1" applyAlignment="1">
      <alignment horizontal="left" vertical="center" wrapText="1"/>
    </xf>
    <xf numFmtId="0" fontId="7" fillId="0" borderId="2" xfId="0" applyFont="1" applyFill="1" applyBorder="1" applyAlignment="1">
      <alignment vertical="center" wrapText="1"/>
    </xf>
    <xf numFmtId="0" fontId="8" fillId="0" borderId="2" xfId="0" applyFont="1" applyFill="1" applyBorder="1" applyAlignment="1">
      <alignment horizontal="left" vertical="center" wrapText="1"/>
    </xf>
    <xf numFmtId="0" fontId="9" fillId="0" borderId="2" xfId="0" applyFont="1" applyFill="1" applyBorder="1" applyAlignment="1">
      <alignment vertical="center" wrapText="1"/>
    </xf>
    <xf numFmtId="0" fontId="2" fillId="0" borderId="2" xfId="0" applyFont="1" applyFill="1" applyBorder="1" applyAlignment="1">
      <alignment horizontal="center" vertical="center"/>
    </xf>
    <xf numFmtId="0" fontId="2" fillId="0" borderId="2" xfId="0" applyFont="1" applyFill="1" applyBorder="1" applyAlignment="1">
      <alignment vertical="center"/>
    </xf>
    <xf numFmtId="0" fontId="7" fillId="3" borderId="2" xfId="0" applyFont="1" applyFill="1" applyBorder="1" applyAlignment="1">
      <alignment horizontal="center" vertical="center" wrapText="1"/>
    </xf>
    <xf numFmtId="0" fontId="7" fillId="0" borderId="2" xfId="49" applyFont="1" applyBorder="1" applyAlignment="1">
      <alignment horizontal="left" vertical="center" wrapText="1"/>
    </xf>
    <xf numFmtId="0" fontId="0" fillId="0" borderId="4" xfId="0" applyBorder="1" applyAlignment="1">
      <alignment vertical="center"/>
    </xf>
    <xf numFmtId="0" fontId="2" fillId="0" borderId="2" xfId="0" applyFont="1" applyFill="1" applyBorder="1" applyAlignment="1">
      <alignment vertical="center" wrapText="1"/>
    </xf>
    <xf numFmtId="0" fontId="2" fillId="0" borderId="3" xfId="0" applyFont="1" applyFill="1" applyBorder="1" applyAlignment="1">
      <alignmen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2" Type="http://schemas.openxmlformats.org/officeDocument/2006/relationships/image" Target="media/image12.pn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_rels/workbook.xml.rels><?xml version="1.0" encoding="UTF-8" standalone="yes"?>
<Relationships xmlns="http://schemas.openxmlformats.org/package/2006/relationships"><Relationship Id="rId7" Type="http://www.wps.cn/officeDocument/2020/cellImage" Target="cellimages.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69"/>
  <sheetViews>
    <sheetView tabSelected="1" topLeftCell="F268" workbookViewId="0">
      <selection activeCell="L268" sqref="L268"/>
    </sheetView>
  </sheetViews>
  <sheetFormatPr defaultColWidth="9" defaultRowHeight="14"/>
  <cols>
    <col min="1" max="1" width="9" customWidth="1"/>
    <col min="6" max="6" width="57.2727272727273" customWidth="1"/>
    <col min="7" max="7" width="11.0272727272727" customWidth="1"/>
    <col min="8" max="8" width="33.9636363636364" customWidth="1"/>
    <col min="9" max="9" width="11.1090909090909" style="2" customWidth="1"/>
    <col min="10" max="10" width="9" style="3"/>
    <col min="11" max="11" width="35.5363636363636" style="3"/>
    <col min="12" max="12" width="25.6363636363636" style="3" customWidth="1"/>
  </cols>
  <sheetData>
    <row r="1" ht="50.25" customHeight="1" spans="1:12">
      <c r="A1" s="4" t="s">
        <v>0</v>
      </c>
      <c r="B1" s="5"/>
      <c r="C1" s="5"/>
      <c r="D1" s="5"/>
      <c r="E1" s="5"/>
      <c r="F1" s="5"/>
      <c r="G1" s="5"/>
      <c r="H1" s="5"/>
      <c r="I1" s="5"/>
      <c r="J1" s="5"/>
      <c r="K1" s="5"/>
      <c r="L1" s="5"/>
    </row>
    <row r="2" ht="43.5" customHeight="1" spans="1:12">
      <c r="A2" s="6" t="s">
        <v>1</v>
      </c>
      <c r="B2" s="7"/>
      <c r="C2" s="7"/>
      <c r="D2" s="7"/>
      <c r="E2" s="7"/>
      <c r="F2" s="7"/>
      <c r="G2" s="7"/>
      <c r="H2" s="7"/>
      <c r="I2" s="13"/>
      <c r="J2" s="7"/>
      <c r="K2" s="7"/>
      <c r="L2" s="7"/>
    </row>
    <row r="3" ht="15" customHeight="1" spans="1:12">
      <c r="A3" s="8" t="s">
        <v>2</v>
      </c>
      <c r="B3" s="8" t="s">
        <v>3</v>
      </c>
      <c r="C3" s="8" t="s">
        <v>4</v>
      </c>
      <c r="D3" s="8" t="s">
        <v>5</v>
      </c>
      <c r="E3" s="8"/>
      <c r="F3" s="8" t="s">
        <v>6</v>
      </c>
      <c r="G3" s="8" t="s">
        <v>7</v>
      </c>
      <c r="H3" s="8" t="s">
        <v>8</v>
      </c>
      <c r="I3" s="8" t="s">
        <v>9</v>
      </c>
      <c r="J3" s="14" t="s">
        <v>10</v>
      </c>
      <c r="K3" s="14" t="s">
        <v>11</v>
      </c>
      <c r="L3" s="14" t="s">
        <v>12</v>
      </c>
    </row>
    <row r="4" ht="68.25" customHeight="1" spans="1:12">
      <c r="A4" s="8"/>
      <c r="B4" s="8"/>
      <c r="C4" s="8"/>
      <c r="D4" s="9" t="s">
        <v>13</v>
      </c>
      <c r="E4" s="9" t="s">
        <v>14</v>
      </c>
      <c r="F4" s="8"/>
      <c r="G4" s="8"/>
      <c r="H4" s="8"/>
      <c r="I4" s="8"/>
      <c r="J4" s="14"/>
      <c r="K4" s="14"/>
      <c r="L4" s="14"/>
    </row>
    <row r="5" ht="409.5" spans="1:12">
      <c r="A5" s="10">
        <v>1</v>
      </c>
      <c r="B5" s="11" t="s">
        <v>15</v>
      </c>
      <c r="C5" s="12" t="s">
        <v>16</v>
      </c>
      <c r="D5" s="12" t="s">
        <v>17</v>
      </c>
      <c r="E5" s="12"/>
      <c r="F5" s="12" t="s">
        <v>18</v>
      </c>
      <c r="G5" s="12" t="s">
        <v>19</v>
      </c>
      <c r="H5" s="12" t="s">
        <v>20</v>
      </c>
      <c r="I5" s="10" t="s">
        <v>21</v>
      </c>
      <c r="J5" s="12" t="s">
        <v>22</v>
      </c>
      <c r="K5" s="15" t="str">
        <f>_xlfn.DISPIMG("ID_A574CA41CEC6433BBD169F1D4A41831A",1)</f>
        <v>=DISPIMG("ID_A574CA41CEC6433BBD169F1D4A41831A",1)</v>
      </c>
      <c r="L5" s="11" t="str">
        <f>_xlfn.DISPIMG("ID_A8652EFCCC3242E78B5A420CD4CA340E",1)</f>
        <v>=DISPIMG("ID_A8652EFCCC3242E78B5A420CD4CA340E",1)</v>
      </c>
    </row>
    <row r="6" ht="409.5" spans="1:12">
      <c r="A6" s="10">
        <v>2</v>
      </c>
      <c r="B6" s="11" t="s">
        <v>15</v>
      </c>
      <c r="C6" s="12" t="s">
        <v>23</v>
      </c>
      <c r="D6" s="12" t="s">
        <v>24</v>
      </c>
      <c r="E6" s="12"/>
      <c r="F6" s="12" t="s">
        <v>25</v>
      </c>
      <c r="G6" s="12" t="s">
        <v>19</v>
      </c>
      <c r="H6" s="12" t="s">
        <v>26</v>
      </c>
      <c r="I6" s="10" t="s">
        <v>21</v>
      </c>
      <c r="J6" s="12" t="s">
        <v>22</v>
      </c>
      <c r="K6" s="15" t="str">
        <f>_xlfn.DISPIMG("ID_C30ABE66E9E94729A7CA3922C0B22D23",1)</f>
        <v>=DISPIMG("ID_C30ABE66E9E94729A7CA3922C0B22D23",1)</v>
      </c>
      <c r="L6" s="11" t="str">
        <f>_xlfn.DISPIMG("ID_90948B920D224C2CBF5DD155FAB501E4",1)</f>
        <v>=DISPIMG("ID_90948B920D224C2CBF5DD155FAB501E4",1)</v>
      </c>
    </row>
    <row r="7" ht="409.5" spans="1:12">
      <c r="A7" s="10">
        <v>3</v>
      </c>
      <c r="B7" s="11" t="s">
        <v>15</v>
      </c>
      <c r="C7" s="12" t="s">
        <v>27</v>
      </c>
      <c r="D7" s="12" t="s">
        <v>28</v>
      </c>
      <c r="E7" s="12"/>
      <c r="F7" s="12" t="s">
        <v>29</v>
      </c>
      <c r="G7" s="12" t="s">
        <v>19</v>
      </c>
      <c r="H7" s="12" t="s">
        <v>26</v>
      </c>
      <c r="I7" s="10" t="s">
        <v>21</v>
      </c>
      <c r="J7" s="12" t="s">
        <v>22</v>
      </c>
      <c r="K7" s="15" t="str">
        <f>_xlfn.DISPIMG("ID_374A623537E54383836B4ECE109F26D7",1)</f>
        <v>=DISPIMG("ID_374A623537E54383836B4ECE109F26D7",1)</v>
      </c>
      <c r="L7" s="11" t="str">
        <f>_xlfn.DISPIMG("ID_E2BC86CA38F04DADBA17550950B69AEC",1)</f>
        <v>=DISPIMG("ID_E2BC86CA38F04DADBA17550950B69AEC",1)</v>
      </c>
    </row>
    <row r="8" ht="409.5" spans="1:12">
      <c r="A8" s="10">
        <v>4</v>
      </c>
      <c r="B8" s="11" t="s">
        <v>15</v>
      </c>
      <c r="C8" s="12" t="s">
        <v>30</v>
      </c>
      <c r="D8" s="12" t="s">
        <v>31</v>
      </c>
      <c r="E8" s="12"/>
      <c r="F8" s="12" t="s">
        <v>32</v>
      </c>
      <c r="G8" s="12" t="s">
        <v>19</v>
      </c>
      <c r="H8" s="12" t="s">
        <v>26</v>
      </c>
      <c r="I8" s="10" t="s">
        <v>21</v>
      </c>
      <c r="J8" s="12" t="s">
        <v>22</v>
      </c>
      <c r="K8" s="15" t="str">
        <f>_xlfn.DISPIMG("ID_577E97F2E30549949B097DBB424B5073",1)</f>
        <v>=DISPIMG("ID_577E97F2E30549949B097DBB424B5073",1)</v>
      </c>
      <c r="L8" s="11" t="str">
        <f>_xlfn.DISPIMG("ID_C0D0CB6054EE43C9A94E26947CEF3B6C",1)</f>
        <v>=DISPIMG("ID_C0D0CB6054EE43C9A94E26947CEF3B6C",1)</v>
      </c>
    </row>
    <row r="9" ht="308" spans="1:12">
      <c r="A9" s="10">
        <v>5</v>
      </c>
      <c r="B9" s="11" t="s">
        <v>15</v>
      </c>
      <c r="C9" s="12" t="s">
        <v>33</v>
      </c>
      <c r="D9" s="12" t="s">
        <v>34</v>
      </c>
      <c r="E9" s="12"/>
      <c r="F9" s="12" t="s">
        <v>35</v>
      </c>
      <c r="G9" s="12" t="s">
        <v>36</v>
      </c>
      <c r="H9" s="12" t="s">
        <v>26</v>
      </c>
      <c r="I9" s="10" t="s">
        <v>21</v>
      </c>
      <c r="J9" s="12" t="s">
        <v>22</v>
      </c>
      <c r="K9" s="15" t="str">
        <f>_xlfn.DISPIMG("ID_16A6FD08F7D8475492734552468090CE",1)</f>
        <v>=DISPIMG("ID_16A6FD08F7D8475492734552468090CE",1)</v>
      </c>
      <c r="L9" s="11" t="str">
        <f>_xlfn.DISPIMG("ID_14E93C4D64844483985964DEB3422532",1)</f>
        <v>=DISPIMG("ID_14E93C4D64844483985964DEB3422532",1)</v>
      </c>
    </row>
    <row r="10" ht="409.5" spans="1:12">
      <c r="A10" s="10">
        <v>6</v>
      </c>
      <c r="B10" s="11" t="s">
        <v>15</v>
      </c>
      <c r="C10" s="12" t="s">
        <v>37</v>
      </c>
      <c r="D10" s="12" t="s">
        <v>38</v>
      </c>
      <c r="E10" s="12"/>
      <c r="F10" s="12" t="s">
        <v>39</v>
      </c>
      <c r="G10" s="12" t="s">
        <v>19</v>
      </c>
      <c r="H10" s="12" t="s">
        <v>40</v>
      </c>
      <c r="I10" s="10" t="s">
        <v>21</v>
      </c>
      <c r="J10" s="12" t="s">
        <v>22</v>
      </c>
      <c r="K10" s="15" t="str">
        <f>_xlfn.DISPIMG("ID_6196997E0CD949BA97191D8F0C8A84AE",1)</f>
        <v>=DISPIMG("ID_6196997E0CD949BA97191D8F0C8A84AE",1)</v>
      </c>
      <c r="L10" s="11" t="str">
        <f>_xlfn.DISPIMG("ID_BFF0FD0F2B504C41ADFE6CEF42A681F7",1)</f>
        <v>=DISPIMG("ID_BFF0FD0F2B504C41ADFE6CEF42A681F7",1)</v>
      </c>
    </row>
    <row r="11" ht="409.5" spans="1:12">
      <c r="A11" s="10">
        <v>7</v>
      </c>
      <c r="B11" s="11" t="s">
        <v>15</v>
      </c>
      <c r="C11" s="12" t="s">
        <v>41</v>
      </c>
      <c r="D11" s="12" t="s">
        <v>42</v>
      </c>
      <c r="E11" s="12"/>
      <c r="F11" s="12" t="s">
        <v>43</v>
      </c>
      <c r="G11" s="12" t="s">
        <v>19</v>
      </c>
      <c r="H11" s="12" t="s">
        <v>40</v>
      </c>
      <c r="I11" s="10" t="s">
        <v>21</v>
      </c>
      <c r="J11" s="12" t="s">
        <v>22</v>
      </c>
      <c r="K11" s="15" t="str">
        <f>_xlfn.DISPIMG("ID_5AE2A0B72BB64C0D98BBD16C0E658D28",1)</f>
        <v>=DISPIMG("ID_5AE2A0B72BB64C0D98BBD16C0E658D28",1)</v>
      </c>
      <c r="L11" s="11" t="str">
        <f>_xlfn.DISPIMG("ID_557D6D56CF5F4A35AB2339209EEC3D16",1)</f>
        <v>=DISPIMG("ID_557D6D56CF5F4A35AB2339209EEC3D16",1)</v>
      </c>
    </row>
    <row r="12" ht="409.5" spans="1:12">
      <c r="A12" s="10">
        <v>8</v>
      </c>
      <c r="B12" s="11" t="s">
        <v>15</v>
      </c>
      <c r="C12" s="12" t="s">
        <v>44</v>
      </c>
      <c r="D12" s="12" t="s">
        <v>45</v>
      </c>
      <c r="E12" s="12"/>
      <c r="F12" s="12" t="s">
        <v>46</v>
      </c>
      <c r="G12" s="12" t="s">
        <v>19</v>
      </c>
      <c r="H12" s="12" t="s">
        <v>26</v>
      </c>
      <c r="I12" s="10" t="s">
        <v>21</v>
      </c>
      <c r="J12" s="12" t="s">
        <v>22</v>
      </c>
      <c r="K12" s="15" t="str">
        <f>_xlfn.DISPIMG("ID_ACF78B9050D148C082771DBB45B483B7",1)</f>
        <v>=DISPIMG("ID_ACF78B9050D148C082771DBB45B483B7",1)</v>
      </c>
      <c r="L12" s="11" t="str">
        <f>_xlfn.DISPIMG("ID_19798A0EBF8D4C9B85187D5C04404538",1)</f>
        <v>=DISPIMG("ID_19798A0EBF8D4C9B85187D5C04404538",1)</v>
      </c>
    </row>
    <row r="13" ht="409.5" spans="1:12">
      <c r="A13" s="10">
        <v>9</v>
      </c>
      <c r="B13" s="11" t="s">
        <v>15</v>
      </c>
      <c r="C13" s="12" t="s">
        <v>47</v>
      </c>
      <c r="D13" s="12" t="s">
        <v>48</v>
      </c>
      <c r="E13" s="12"/>
      <c r="F13" s="12" t="s">
        <v>49</v>
      </c>
      <c r="G13" s="12" t="s">
        <v>19</v>
      </c>
      <c r="H13" s="12" t="s">
        <v>26</v>
      </c>
      <c r="I13" s="10" t="s">
        <v>21</v>
      </c>
      <c r="J13" s="12" t="s">
        <v>22</v>
      </c>
      <c r="K13" s="15" t="str">
        <f>_xlfn.DISPIMG("ID_27F347D88D40452C8C805FAFD049099B",1)</f>
        <v>=DISPIMG("ID_27F347D88D40452C8C805FAFD049099B",1)</v>
      </c>
      <c r="L13" s="11" t="str">
        <f>_xlfn.DISPIMG("ID_C0649297B2164535AF967EEF18A8C1D1",1)</f>
        <v>=DISPIMG("ID_C0649297B2164535AF967EEF18A8C1D1",1)</v>
      </c>
    </row>
    <row r="14" ht="409.5" spans="1:12">
      <c r="A14" s="10">
        <v>10</v>
      </c>
      <c r="B14" s="11" t="s">
        <v>15</v>
      </c>
      <c r="C14" s="12" t="s">
        <v>50</v>
      </c>
      <c r="D14" s="12" t="s">
        <v>51</v>
      </c>
      <c r="E14" s="12"/>
      <c r="F14" s="12" t="s">
        <v>52</v>
      </c>
      <c r="G14" s="12" t="s">
        <v>19</v>
      </c>
      <c r="H14" s="12" t="s">
        <v>53</v>
      </c>
      <c r="I14" s="10" t="s">
        <v>21</v>
      </c>
      <c r="J14" s="12" t="s">
        <v>22</v>
      </c>
      <c r="K14" s="15" t="str">
        <f>_xlfn.DISPIMG("ID_0F8F8037F0064613833464FCC8FF6B49",1)</f>
        <v>=DISPIMG("ID_0F8F8037F0064613833464FCC8FF6B49",1)</v>
      </c>
      <c r="L14" s="11" t="str">
        <f>_xlfn.DISPIMG("ID_69860BC70F064627A4B500BD010A721E",1)</f>
        <v>=DISPIMG("ID_69860BC70F064627A4B500BD010A721E",1)</v>
      </c>
    </row>
    <row r="15" ht="409.5" spans="1:12">
      <c r="A15" s="10">
        <v>11</v>
      </c>
      <c r="B15" s="11" t="s">
        <v>15</v>
      </c>
      <c r="C15" s="12" t="s">
        <v>54</v>
      </c>
      <c r="D15" s="12" t="s">
        <v>55</v>
      </c>
      <c r="E15" s="12"/>
      <c r="F15" s="12" t="s">
        <v>56</v>
      </c>
      <c r="G15" s="12" t="s">
        <v>19</v>
      </c>
      <c r="H15" s="12" t="s">
        <v>57</v>
      </c>
      <c r="I15" s="10" t="s">
        <v>21</v>
      </c>
      <c r="J15" s="12" t="s">
        <v>22</v>
      </c>
      <c r="K15" s="15" t="str">
        <f>_xlfn.DISPIMG("ID_3CA20AF288B743678539BC05894B639D",1)</f>
        <v>=DISPIMG("ID_3CA20AF288B743678539BC05894B639D",1)</v>
      </c>
      <c r="L15" s="11" t="str">
        <f>_xlfn.DISPIMG("ID_E98F0DDF009C4F09A7E46FB09445AFFD",1)</f>
        <v>=DISPIMG("ID_E98F0DDF009C4F09A7E46FB09445AFFD",1)</v>
      </c>
    </row>
    <row r="16" ht="409.5" spans="1:12">
      <c r="A16" s="10">
        <v>12</v>
      </c>
      <c r="B16" s="11" t="s">
        <v>15</v>
      </c>
      <c r="C16" s="12" t="s">
        <v>58</v>
      </c>
      <c r="D16" s="12" t="s">
        <v>59</v>
      </c>
      <c r="E16" s="12"/>
      <c r="F16" s="12" t="s">
        <v>60</v>
      </c>
      <c r="G16" s="12" t="s">
        <v>19</v>
      </c>
      <c r="H16" s="12" t="s">
        <v>57</v>
      </c>
      <c r="I16" s="10" t="s">
        <v>21</v>
      </c>
      <c r="J16" s="12" t="s">
        <v>22</v>
      </c>
      <c r="K16" s="15" t="str">
        <f>_xlfn.DISPIMG("ID_95DCF37E175945A8AB2876056D5DE2C7",1)</f>
        <v>=DISPIMG("ID_95DCF37E175945A8AB2876056D5DE2C7",1)</v>
      </c>
      <c r="L16" s="11" t="str">
        <f>_xlfn.DISPIMG("ID_3F32A810F65E425F94FBD2CEAF16503A",1)</f>
        <v>=DISPIMG("ID_3F32A810F65E425F94FBD2CEAF16503A",1)</v>
      </c>
    </row>
    <row r="17" ht="409.5" spans="1:12">
      <c r="A17" s="10">
        <v>13</v>
      </c>
      <c r="B17" s="11" t="s">
        <v>15</v>
      </c>
      <c r="C17" s="12" t="s">
        <v>61</v>
      </c>
      <c r="D17" s="12" t="s">
        <v>62</v>
      </c>
      <c r="E17" s="12"/>
      <c r="F17" s="12" t="s">
        <v>63</v>
      </c>
      <c r="G17" s="12" t="s">
        <v>19</v>
      </c>
      <c r="H17" s="12" t="s">
        <v>64</v>
      </c>
      <c r="I17" s="10" t="s">
        <v>21</v>
      </c>
      <c r="J17" s="12" t="s">
        <v>22</v>
      </c>
      <c r="K17" s="15" t="str">
        <f>_xlfn.DISPIMG("ID_38921C494BA04B42AFA1DD8563556F07",1)</f>
        <v>=DISPIMG("ID_38921C494BA04B42AFA1DD8563556F07",1)</v>
      </c>
      <c r="L17" s="11" t="str">
        <f>_xlfn.DISPIMG("ID_DFCEE10CA21444D888026D6A14545E89",1)</f>
        <v>=DISPIMG("ID_DFCEE10CA21444D888026D6A14545E89",1)</v>
      </c>
    </row>
    <row r="18" ht="308" spans="1:12">
      <c r="A18" s="10">
        <v>14</v>
      </c>
      <c r="B18" s="11" t="s">
        <v>15</v>
      </c>
      <c r="C18" s="12" t="s">
        <v>65</v>
      </c>
      <c r="D18" s="12" t="s">
        <v>66</v>
      </c>
      <c r="E18" s="12"/>
      <c r="F18" s="12" t="s">
        <v>67</v>
      </c>
      <c r="G18" s="12" t="s">
        <v>36</v>
      </c>
      <c r="H18" s="12" t="s">
        <v>68</v>
      </c>
      <c r="I18" s="10" t="s">
        <v>21</v>
      </c>
      <c r="J18" s="12" t="s">
        <v>22</v>
      </c>
      <c r="K18" s="15" t="str">
        <f>_xlfn.DISPIMG("ID_8D5E61E498CA4D239B79F94447837C30",1)</f>
        <v>=DISPIMG("ID_8D5E61E498CA4D239B79F94447837C30",1)</v>
      </c>
      <c r="L18" s="11" t="str">
        <f>_xlfn.DISPIMG("ID_656D1D300E494457A1950F08594FB704",1)</f>
        <v>=DISPIMG("ID_656D1D300E494457A1950F08594FB704",1)</v>
      </c>
    </row>
    <row r="19" ht="409.5" spans="1:12">
      <c r="A19" s="10">
        <v>15</v>
      </c>
      <c r="B19" s="11" t="s">
        <v>15</v>
      </c>
      <c r="C19" s="12" t="s">
        <v>69</v>
      </c>
      <c r="D19" s="12" t="s">
        <v>70</v>
      </c>
      <c r="E19" s="12"/>
      <c r="F19" s="12" t="s">
        <v>71</v>
      </c>
      <c r="G19" s="12" t="s">
        <v>19</v>
      </c>
      <c r="H19" s="12" t="s">
        <v>68</v>
      </c>
      <c r="I19" s="10" t="s">
        <v>21</v>
      </c>
      <c r="J19" s="12" t="s">
        <v>22</v>
      </c>
      <c r="K19" s="15" t="str">
        <f>_xlfn.DISPIMG("ID_892964FBFC29478E8E2220162B06CF09",1)</f>
        <v>=DISPIMG("ID_892964FBFC29478E8E2220162B06CF09",1)</v>
      </c>
      <c r="L19" s="11" t="str">
        <f>_xlfn.DISPIMG("ID_5F75ECDD849647ACA0DE0100F03D1E1F",1)</f>
        <v>=DISPIMG("ID_5F75ECDD849647ACA0DE0100F03D1E1F",1)</v>
      </c>
    </row>
    <row r="20" ht="409.5" spans="1:12">
      <c r="A20" s="10">
        <v>16</v>
      </c>
      <c r="B20" s="11" t="s">
        <v>15</v>
      </c>
      <c r="C20" s="12" t="s">
        <v>72</v>
      </c>
      <c r="D20" s="12" t="s">
        <v>73</v>
      </c>
      <c r="E20" s="12"/>
      <c r="F20" s="12" t="s">
        <v>74</v>
      </c>
      <c r="G20" s="12" t="s">
        <v>19</v>
      </c>
      <c r="H20" s="12" t="s">
        <v>68</v>
      </c>
      <c r="I20" s="10" t="s">
        <v>21</v>
      </c>
      <c r="J20" s="12" t="s">
        <v>22</v>
      </c>
      <c r="K20" s="15" t="str">
        <f>_xlfn.DISPIMG("ID_DAEAD973B68B48129E2855CC292BFB35",1)</f>
        <v>=DISPIMG("ID_DAEAD973B68B48129E2855CC292BFB35",1)</v>
      </c>
      <c r="L20" s="11" t="str">
        <f>_xlfn.DISPIMG("ID_2D44432D22D3464AAA3DC6D59C063377",1)</f>
        <v>=DISPIMG("ID_2D44432D22D3464AAA3DC6D59C063377",1)</v>
      </c>
    </row>
    <row r="21" ht="409.5" spans="1:12">
      <c r="A21" s="10">
        <v>17</v>
      </c>
      <c r="B21" s="11" t="s">
        <v>15</v>
      </c>
      <c r="C21" s="12" t="s">
        <v>75</v>
      </c>
      <c r="D21" s="12" t="s">
        <v>76</v>
      </c>
      <c r="E21" s="12"/>
      <c r="F21" s="12" t="s">
        <v>77</v>
      </c>
      <c r="G21" s="12" t="s">
        <v>19</v>
      </c>
      <c r="H21" s="12" t="s">
        <v>68</v>
      </c>
      <c r="I21" s="10" t="s">
        <v>21</v>
      </c>
      <c r="J21" s="12" t="s">
        <v>22</v>
      </c>
      <c r="K21" s="15" t="str">
        <f>_xlfn.DISPIMG("ID_863E604C78B04AA9A1727FB31F2B033A",1)</f>
        <v>=DISPIMG("ID_863E604C78B04AA9A1727FB31F2B033A",1)</v>
      </c>
      <c r="L21" s="11" t="str">
        <f>_xlfn.DISPIMG("ID_A4BAE62F5E5441FBA24A885BC17BD6BE",1)</f>
        <v>=DISPIMG("ID_A4BAE62F5E5441FBA24A885BC17BD6BE",1)</v>
      </c>
    </row>
    <row r="22" ht="322" spans="1:12">
      <c r="A22" s="10">
        <v>18</v>
      </c>
      <c r="B22" s="11" t="s">
        <v>15</v>
      </c>
      <c r="C22" s="12" t="s">
        <v>78</v>
      </c>
      <c r="D22" s="12" t="s">
        <v>79</v>
      </c>
      <c r="E22" s="12"/>
      <c r="F22" s="12" t="s">
        <v>80</v>
      </c>
      <c r="G22" s="12" t="s">
        <v>36</v>
      </c>
      <c r="H22" s="12" t="s">
        <v>68</v>
      </c>
      <c r="I22" s="10" t="s">
        <v>21</v>
      </c>
      <c r="J22" s="12" t="s">
        <v>22</v>
      </c>
      <c r="K22" s="15" t="str">
        <f>_xlfn.DISPIMG("ID_6FBC6C42E4F84187BC3088F5F023615E",1)</f>
        <v>=DISPIMG("ID_6FBC6C42E4F84187BC3088F5F023615E",1)</v>
      </c>
      <c r="L22" s="11" t="str">
        <f>_xlfn.DISPIMG("ID_9D32719A16C9435EB8032448B2ECCE12",1)</f>
        <v>=DISPIMG("ID_9D32719A16C9435EB8032448B2ECCE12",1)</v>
      </c>
    </row>
    <row r="23" ht="409.5" spans="1:12">
      <c r="A23" s="10">
        <v>19</v>
      </c>
      <c r="B23" s="11" t="s">
        <v>15</v>
      </c>
      <c r="C23" s="12" t="s">
        <v>81</v>
      </c>
      <c r="D23" s="12" t="s">
        <v>82</v>
      </c>
      <c r="E23" s="12"/>
      <c r="F23" s="12" t="s">
        <v>83</v>
      </c>
      <c r="G23" s="12" t="s">
        <v>19</v>
      </c>
      <c r="H23" s="12" t="s">
        <v>26</v>
      </c>
      <c r="I23" s="10" t="s">
        <v>21</v>
      </c>
      <c r="J23" s="12" t="s">
        <v>22</v>
      </c>
      <c r="K23" s="15" t="str">
        <f>_xlfn.DISPIMG("ID_F7A84CDE2675420DAEA7DFF1E3B71259",1)</f>
        <v>=DISPIMG("ID_F7A84CDE2675420DAEA7DFF1E3B71259",1)</v>
      </c>
      <c r="L23" s="11" t="str">
        <f>_xlfn.DISPIMG("ID_CF9E2979E3D445A99C4CF891B5A0ACE1",1)</f>
        <v>=DISPIMG("ID_CF9E2979E3D445A99C4CF891B5A0ACE1",1)</v>
      </c>
    </row>
    <row r="24" ht="409.5" spans="1:12">
      <c r="A24" s="10">
        <v>20</v>
      </c>
      <c r="B24" s="11" t="s">
        <v>15</v>
      </c>
      <c r="C24" s="12" t="s">
        <v>84</v>
      </c>
      <c r="D24" s="12" t="s">
        <v>85</v>
      </c>
      <c r="E24" s="12"/>
      <c r="F24" s="12" t="s">
        <v>86</v>
      </c>
      <c r="G24" s="12" t="s">
        <v>19</v>
      </c>
      <c r="H24" s="12" t="s">
        <v>26</v>
      </c>
      <c r="I24" s="10" t="s">
        <v>21</v>
      </c>
      <c r="J24" s="12" t="s">
        <v>22</v>
      </c>
      <c r="K24" s="15" t="str">
        <f>_xlfn.DISPIMG("ID_696902C348E24B85B59D1FDA3588D10F",1)</f>
        <v>=DISPIMG("ID_696902C348E24B85B59D1FDA3588D10F",1)</v>
      </c>
      <c r="L24" s="11" t="str">
        <f>_xlfn.DISPIMG("ID_DF4EA6E1919D47E0B1701F568A5EB2C8",1)</f>
        <v>=DISPIMG("ID_DF4EA6E1919D47E0B1701F568A5EB2C8",1)</v>
      </c>
    </row>
    <row r="25" ht="409.5" spans="1:12">
      <c r="A25" s="10">
        <v>21</v>
      </c>
      <c r="B25" s="11" t="s">
        <v>15</v>
      </c>
      <c r="C25" s="12" t="s">
        <v>87</v>
      </c>
      <c r="D25" s="12" t="s">
        <v>88</v>
      </c>
      <c r="E25" s="12"/>
      <c r="F25" s="12" t="s">
        <v>89</v>
      </c>
      <c r="G25" s="12" t="s">
        <v>19</v>
      </c>
      <c r="H25" s="12" t="s">
        <v>90</v>
      </c>
      <c r="I25" s="10" t="s">
        <v>21</v>
      </c>
      <c r="J25" s="12" t="s">
        <v>22</v>
      </c>
      <c r="K25" s="15" t="str">
        <f>_xlfn.DISPIMG("ID_39B748A35ED64F6984350B452591326A",1)</f>
        <v>=DISPIMG("ID_39B748A35ED64F6984350B452591326A",1)</v>
      </c>
      <c r="L25" s="11" t="str">
        <f>_xlfn.DISPIMG("ID_4EEF3D46E0644FE08025B7295D5D08F3",1)</f>
        <v>=DISPIMG("ID_4EEF3D46E0644FE08025B7295D5D08F3",1)</v>
      </c>
    </row>
    <row r="26" ht="409.5" spans="1:12">
      <c r="A26" s="10">
        <v>22</v>
      </c>
      <c r="B26" s="11" t="s">
        <v>15</v>
      </c>
      <c r="C26" s="12" t="s">
        <v>91</v>
      </c>
      <c r="D26" s="12" t="s">
        <v>92</v>
      </c>
      <c r="E26" s="12"/>
      <c r="F26" s="12" t="s">
        <v>93</v>
      </c>
      <c r="G26" s="12" t="s">
        <v>19</v>
      </c>
      <c r="H26" s="12" t="s">
        <v>94</v>
      </c>
      <c r="I26" s="10" t="s">
        <v>21</v>
      </c>
      <c r="J26" s="12" t="s">
        <v>22</v>
      </c>
      <c r="K26" s="15" t="str">
        <f>_xlfn.DISPIMG("ID_9A1E9CF8F94B4BD9BD205199AB6CEE97",1)</f>
        <v>=DISPIMG("ID_9A1E9CF8F94B4BD9BD205199AB6CEE97",1)</v>
      </c>
      <c r="L26" s="11" t="str">
        <f>_xlfn.DISPIMG("ID_76BDDFB197484301B1AAE8BB9DAEA127",1)</f>
        <v>=DISPIMG("ID_76BDDFB197484301B1AAE8BB9DAEA127",1)</v>
      </c>
    </row>
    <row r="27" ht="409.5" spans="1:12">
      <c r="A27" s="10">
        <v>23</v>
      </c>
      <c r="B27" s="11" t="s">
        <v>15</v>
      </c>
      <c r="C27" s="12" t="s">
        <v>95</v>
      </c>
      <c r="D27" s="12" t="s">
        <v>96</v>
      </c>
      <c r="E27" s="12"/>
      <c r="F27" s="12" t="s">
        <v>97</v>
      </c>
      <c r="G27" s="12" t="s">
        <v>19</v>
      </c>
      <c r="H27" s="12" t="s">
        <v>94</v>
      </c>
      <c r="I27" s="10" t="s">
        <v>21</v>
      </c>
      <c r="J27" s="12" t="s">
        <v>22</v>
      </c>
      <c r="K27" s="15" t="str">
        <f>_xlfn.DISPIMG("ID_476E69CE9F1446B5BA861FED6582447A",1)</f>
        <v>=DISPIMG("ID_476E69CE9F1446B5BA861FED6582447A",1)</v>
      </c>
      <c r="L27" s="11" t="str">
        <f>_xlfn.DISPIMG("ID_92090D728345487E97BEBBCB8A5DD0AA",1)</f>
        <v>=DISPIMG("ID_92090D728345487E97BEBBCB8A5DD0AA",1)</v>
      </c>
    </row>
    <row r="28" ht="409.5" spans="1:12">
      <c r="A28" s="10">
        <v>24</v>
      </c>
      <c r="B28" s="11" t="s">
        <v>15</v>
      </c>
      <c r="C28" s="12" t="s">
        <v>98</v>
      </c>
      <c r="D28" s="12" t="s">
        <v>99</v>
      </c>
      <c r="E28" s="12"/>
      <c r="F28" s="12" t="s">
        <v>100</v>
      </c>
      <c r="G28" s="12" t="s">
        <v>19</v>
      </c>
      <c r="H28" s="12" t="s">
        <v>94</v>
      </c>
      <c r="I28" s="10" t="s">
        <v>21</v>
      </c>
      <c r="J28" s="12" t="s">
        <v>22</v>
      </c>
      <c r="K28" s="15" t="str">
        <f>_xlfn.DISPIMG("ID_339C08F1B52643D597554E1A9D97178C",1)</f>
        <v>=DISPIMG("ID_339C08F1B52643D597554E1A9D97178C",1)</v>
      </c>
      <c r="L28" s="11" t="str">
        <f>_xlfn.DISPIMG("ID_80F0BAF74D1E493995D45780133495EF",1)</f>
        <v>=DISPIMG("ID_80F0BAF74D1E493995D45780133495EF",1)</v>
      </c>
    </row>
    <row r="29" ht="409.5" spans="1:12">
      <c r="A29" s="10">
        <v>25</v>
      </c>
      <c r="B29" s="11" t="s">
        <v>15</v>
      </c>
      <c r="C29" s="12" t="s">
        <v>101</v>
      </c>
      <c r="D29" s="12" t="s">
        <v>102</v>
      </c>
      <c r="E29" s="12"/>
      <c r="F29" s="12" t="s">
        <v>103</v>
      </c>
      <c r="G29" s="12" t="s">
        <v>19</v>
      </c>
      <c r="H29" s="12" t="s">
        <v>94</v>
      </c>
      <c r="I29" s="10" t="s">
        <v>21</v>
      </c>
      <c r="J29" s="12" t="s">
        <v>22</v>
      </c>
      <c r="K29" s="15" t="str">
        <f>_xlfn.DISPIMG("ID_AEDC83D3D6D0445E83C2D16BF0E628A5",1)</f>
        <v>=DISPIMG("ID_AEDC83D3D6D0445E83C2D16BF0E628A5",1)</v>
      </c>
      <c r="L29" s="11" t="str">
        <f>_xlfn.DISPIMG("ID_1D2F4611C2474FB89FB8B45C0D9B7C96",1)</f>
        <v>=DISPIMG("ID_1D2F4611C2474FB89FB8B45C0D9B7C96",1)</v>
      </c>
    </row>
    <row r="30" ht="409.5" spans="1:12">
      <c r="A30" s="10">
        <v>26</v>
      </c>
      <c r="B30" s="11" t="s">
        <v>15</v>
      </c>
      <c r="C30" s="12" t="s">
        <v>104</v>
      </c>
      <c r="D30" s="12" t="s">
        <v>105</v>
      </c>
      <c r="E30" s="12"/>
      <c r="F30" s="12" t="s">
        <v>106</v>
      </c>
      <c r="G30" s="12" t="s">
        <v>19</v>
      </c>
      <c r="H30" s="12" t="s">
        <v>94</v>
      </c>
      <c r="I30" s="10" t="s">
        <v>21</v>
      </c>
      <c r="J30" s="12" t="s">
        <v>22</v>
      </c>
      <c r="K30" s="15" t="str">
        <f>_xlfn.DISPIMG("ID_61C785AE98314D9B9CFC24FEED3EB32F",1)</f>
        <v>=DISPIMG("ID_61C785AE98314D9B9CFC24FEED3EB32F",1)</v>
      </c>
      <c r="L30" s="11" t="str">
        <f>_xlfn.DISPIMG("ID_EC367413C0664C8F929EB76EAA0E86BE",1)</f>
        <v>=DISPIMG("ID_EC367413C0664C8F929EB76EAA0E86BE",1)</v>
      </c>
    </row>
    <row r="31" ht="409.5" spans="1:12">
      <c r="A31" s="10">
        <v>27</v>
      </c>
      <c r="B31" s="11" t="s">
        <v>15</v>
      </c>
      <c r="C31" s="12" t="s">
        <v>107</v>
      </c>
      <c r="D31" s="12" t="s">
        <v>108</v>
      </c>
      <c r="E31" s="12"/>
      <c r="F31" s="12" t="s">
        <v>109</v>
      </c>
      <c r="G31" s="12" t="s">
        <v>19</v>
      </c>
      <c r="H31" s="12" t="s">
        <v>110</v>
      </c>
      <c r="I31" s="10" t="s">
        <v>21</v>
      </c>
      <c r="J31" s="12" t="s">
        <v>22</v>
      </c>
      <c r="K31" s="15" t="str">
        <f>_xlfn.DISPIMG("ID_188DA1E9DFAB42A19A844F237CC697FB",1)</f>
        <v>=DISPIMG("ID_188DA1E9DFAB42A19A844F237CC697FB",1)</v>
      </c>
      <c r="L31" s="11" t="str">
        <f>_xlfn.DISPIMG("ID_DC053B9322AD48E39B711F7C0BBCD9C0",1)</f>
        <v>=DISPIMG("ID_DC053B9322AD48E39B711F7C0BBCD9C0",1)</v>
      </c>
    </row>
    <row r="32" ht="409.5" spans="1:12">
      <c r="A32" s="10">
        <v>28</v>
      </c>
      <c r="B32" s="11" t="s">
        <v>15</v>
      </c>
      <c r="C32" s="12" t="s">
        <v>111</v>
      </c>
      <c r="D32" s="12" t="s">
        <v>112</v>
      </c>
      <c r="E32" s="12"/>
      <c r="F32" s="12" t="s">
        <v>113</v>
      </c>
      <c r="G32" s="12" t="s">
        <v>19</v>
      </c>
      <c r="H32" s="12" t="s">
        <v>114</v>
      </c>
      <c r="I32" s="10" t="s">
        <v>21</v>
      </c>
      <c r="J32" s="12" t="s">
        <v>22</v>
      </c>
      <c r="K32" s="15" t="str">
        <f>_xlfn.DISPIMG("ID_C0AE476E361C4346AB472476645F5FCA",1)</f>
        <v>=DISPIMG("ID_C0AE476E361C4346AB472476645F5FCA",1)</v>
      </c>
      <c r="L32" s="11" t="str">
        <f>_xlfn.DISPIMG("ID_EFCAB5EC66C245768CF9D490B8D8290E",1)</f>
        <v>=DISPIMG("ID_EFCAB5EC66C245768CF9D490B8D8290E",1)</v>
      </c>
    </row>
    <row r="33" ht="409.5" spans="1:12">
      <c r="A33" s="10">
        <v>29</v>
      </c>
      <c r="B33" s="11" t="s">
        <v>15</v>
      </c>
      <c r="C33" s="12" t="s">
        <v>115</v>
      </c>
      <c r="D33" s="12" t="s">
        <v>116</v>
      </c>
      <c r="E33" s="12"/>
      <c r="F33" s="12" t="s">
        <v>117</v>
      </c>
      <c r="G33" s="12" t="s">
        <v>19</v>
      </c>
      <c r="H33" s="12" t="s">
        <v>118</v>
      </c>
      <c r="I33" s="10" t="s">
        <v>21</v>
      </c>
      <c r="J33" s="12" t="s">
        <v>22</v>
      </c>
      <c r="K33" s="15" t="str">
        <f>_xlfn.DISPIMG("ID_A900A60DCE2E4ACAA0FCC6C5474B6BBF",1)</f>
        <v>=DISPIMG("ID_A900A60DCE2E4ACAA0FCC6C5474B6BBF",1)</v>
      </c>
      <c r="L33" s="11" t="str">
        <f>_xlfn.DISPIMG("ID_7AD2EE783B91465EB422A814DD097E54",1)</f>
        <v>=DISPIMG("ID_7AD2EE783B91465EB422A814DD097E54",1)</v>
      </c>
    </row>
    <row r="34" ht="409.5" spans="1:12">
      <c r="A34" s="10">
        <v>30</v>
      </c>
      <c r="B34" s="11" t="s">
        <v>15</v>
      </c>
      <c r="C34" s="12" t="s">
        <v>119</v>
      </c>
      <c r="D34" s="12" t="s">
        <v>120</v>
      </c>
      <c r="E34" s="12"/>
      <c r="F34" s="12" t="s">
        <v>121</v>
      </c>
      <c r="G34" s="12" t="s">
        <v>19</v>
      </c>
      <c r="H34" s="12" t="s">
        <v>122</v>
      </c>
      <c r="I34" s="10" t="s">
        <v>21</v>
      </c>
      <c r="J34" s="12" t="s">
        <v>22</v>
      </c>
      <c r="K34" s="15" t="str">
        <f>_xlfn.DISPIMG("ID_55D834E339914CE88C4AD6FEFEC1DD53",1)</f>
        <v>=DISPIMG("ID_55D834E339914CE88C4AD6FEFEC1DD53",1)</v>
      </c>
      <c r="L34" s="11" t="str">
        <f>_xlfn.DISPIMG("ID_65C1F4949AA74D269F5B916C97CB2D04",1)</f>
        <v>=DISPIMG("ID_65C1F4949AA74D269F5B916C97CB2D04",1)</v>
      </c>
    </row>
    <row r="35" ht="409.5" spans="1:12">
      <c r="A35" s="10">
        <v>31</v>
      </c>
      <c r="B35" s="11" t="s">
        <v>15</v>
      </c>
      <c r="C35" s="12" t="s">
        <v>123</v>
      </c>
      <c r="D35" s="12" t="s">
        <v>124</v>
      </c>
      <c r="E35" s="12"/>
      <c r="F35" s="12" t="s">
        <v>125</v>
      </c>
      <c r="G35" s="12" t="s">
        <v>19</v>
      </c>
      <c r="H35" s="12" t="s">
        <v>118</v>
      </c>
      <c r="I35" s="10" t="s">
        <v>21</v>
      </c>
      <c r="J35" s="12" t="s">
        <v>22</v>
      </c>
      <c r="K35" s="15" t="str">
        <f>_xlfn.DISPIMG("ID_D1430727B8AF4E188F8B5264A69E4315",1)</f>
        <v>=DISPIMG("ID_D1430727B8AF4E188F8B5264A69E4315",1)</v>
      </c>
      <c r="L35" s="11" t="str">
        <f>_xlfn.DISPIMG("ID_FE94BFD873F04BF5AFFCD4D1D211DF53",1)</f>
        <v>=DISPIMG("ID_FE94BFD873F04BF5AFFCD4D1D211DF53",1)</v>
      </c>
    </row>
    <row r="36" ht="409.5" spans="1:12">
      <c r="A36" s="10">
        <v>32</v>
      </c>
      <c r="B36" s="11" t="s">
        <v>15</v>
      </c>
      <c r="C36" s="12" t="s">
        <v>126</v>
      </c>
      <c r="D36" s="12" t="s">
        <v>127</v>
      </c>
      <c r="E36" s="12"/>
      <c r="F36" s="12" t="s">
        <v>128</v>
      </c>
      <c r="G36" s="12" t="s">
        <v>19</v>
      </c>
      <c r="H36" s="12" t="s">
        <v>118</v>
      </c>
      <c r="I36" s="10" t="s">
        <v>21</v>
      </c>
      <c r="J36" s="12" t="s">
        <v>22</v>
      </c>
      <c r="K36" s="15" t="str">
        <f>_xlfn.DISPIMG("ID_049012DF17584E6F8D67EDAADC9421D4",1)</f>
        <v>=DISPIMG("ID_049012DF17584E6F8D67EDAADC9421D4",1)</v>
      </c>
      <c r="L36" s="11" t="str">
        <f>_xlfn.DISPIMG("ID_5E03596BCFBB46EA95AF75F70719E43B",1)</f>
        <v>=DISPIMG("ID_5E03596BCFBB46EA95AF75F70719E43B",1)</v>
      </c>
    </row>
    <row r="37" ht="409.5" spans="1:12">
      <c r="A37" s="10">
        <v>33</v>
      </c>
      <c r="B37" s="11" t="s">
        <v>15</v>
      </c>
      <c r="C37" s="12" t="s">
        <v>129</v>
      </c>
      <c r="D37" s="12" t="s">
        <v>130</v>
      </c>
      <c r="E37" s="12"/>
      <c r="F37" s="12" t="s">
        <v>131</v>
      </c>
      <c r="G37" s="12" t="s">
        <v>19</v>
      </c>
      <c r="H37" s="12" t="s">
        <v>118</v>
      </c>
      <c r="I37" s="10" t="s">
        <v>21</v>
      </c>
      <c r="J37" s="12" t="s">
        <v>22</v>
      </c>
      <c r="K37" s="15" t="str">
        <f>_xlfn.DISPIMG("ID_B01D41F6E78A4C6B95B7B17C5CBD1909",1)</f>
        <v>=DISPIMG("ID_B01D41F6E78A4C6B95B7B17C5CBD1909",1)</v>
      </c>
      <c r="L37" s="11" t="str">
        <f>_xlfn.DISPIMG("ID_1222A251264B4328973AC2B9724B66C8",1)</f>
        <v>=DISPIMG("ID_1222A251264B4328973AC2B9724B66C8",1)</v>
      </c>
    </row>
    <row r="38" ht="409.5" spans="1:12">
      <c r="A38" s="10">
        <v>34</v>
      </c>
      <c r="B38" s="11" t="s">
        <v>15</v>
      </c>
      <c r="C38" s="12" t="s">
        <v>132</v>
      </c>
      <c r="D38" s="12" t="s">
        <v>133</v>
      </c>
      <c r="E38" s="12"/>
      <c r="F38" s="12" t="s">
        <v>134</v>
      </c>
      <c r="G38" s="12" t="s">
        <v>19</v>
      </c>
      <c r="H38" s="12" t="s">
        <v>135</v>
      </c>
      <c r="I38" s="10" t="s">
        <v>21</v>
      </c>
      <c r="J38" s="12" t="s">
        <v>22</v>
      </c>
      <c r="K38" s="15" t="str">
        <f>_xlfn.DISPIMG("ID_9B0FB24E6F00417B94A2886DEA2A171E",1)</f>
        <v>=DISPIMG("ID_9B0FB24E6F00417B94A2886DEA2A171E",1)</v>
      </c>
      <c r="L38" s="11" t="str">
        <f>_xlfn.DISPIMG("ID_1BECE7F4D03A4B2FB6A8FB91D4BECF22",1)</f>
        <v>=DISPIMG("ID_1BECE7F4D03A4B2FB6A8FB91D4BECF22",1)</v>
      </c>
    </row>
    <row r="39" ht="409.5" spans="1:12">
      <c r="A39" s="10">
        <v>35</v>
      </c>
      <c r="B39" s="11" t="s">
        <v>15</v>
      </c>
      <c r="C39" s="12" t="s">
        <v>136</v>
      </c>
      <c r="D39" s="12" t="s">
        <v>137</v>
      </c>
      <c r="E39" s="12"/>
      <c r="F39" s="12" t="s">
        <v>138</v>
      </c>
      <c r="G39" s="12" t="s">
        <v>19</v>
      </c>
      <c r="H39" s="12" t="s">
        <v>26</v>
      </c>
      <c r="I39" s="10" t="s">
        <v>21</v>
      </c>
      <c r="J39" s="12" t="s">
        <v>22</v>
      </c>
      <c r="K39" s="15" t="str">
        <f>_xlfn.DISPIMG("ID_485B1E54336C484B8191A5CF6B2AA192",1)</f>
        <v>=DISPIMG("ID_485B1E54336C484B8191A5CF6B2AA192",1)</v>
      </c>
      <c r="L39" s="11" t="str">
        <f>_xlfn.DISPIMG("ID_2A4836B9C8C14961810839B25606946D",1)</f>
        <v>=DISPIMG("ID_2A4836B9C8C14961810839B25606946D",1)</v>
      </c>
    </row>
    <row r="40" ht="409.5" spans="1:12">
      <c r="A40" s="10">
        <v>36</v>
      </c>
      <c r="B40" s="11" t="s">
        <v>15</v>
      </c>
      <c r="C40" s="12" t="s">
        <v>139</v>
      </c>
      <c r="D40" s="12" t="s">
        <v>140</v>
      </c>
      <c r="E40" s="12"/>
      <c r="F40" s="12" t="s">
        <v>141</v>
      </c>
      <c r="G40" s="12" t="s">
        <v>19</v>
      </c>
      <c r="H40" s="12" t="s">
        <v>142</v>
      </c>
      <c r="I40" s="10" t="s">
        <v>21</v>
      </c>
      <c r="J40" s="12" t="s">
        <v>22</v>
      </c>
      <c r="K40" s="15" t="str">
        <f>_xlfn.DISPIMG("ID_E20AABCF0A304DE9B71A4EDF79443B59",1)</f>
        <v>=DISPIMG("ID_E20AABCF0A304DE9B71A4EDF79443B59",1)</v>
      </c>
      <c r="L40" s="11" t="str">
        <f>_xlfn.DISPIMG("ID_DA4F627E55E74DC8808E13A39524A47C",1)</f>
        <v>=DISPIMG("ID_DA4F627E55E74DC8808E13A39524A47C",1)</v>
      </c>
    </row>
    <row r="41" ht="409.5" spans="1:12">
      <c r="A41" s="10">
        <v>37</v>
      </c>
      <c r="B41" s="11" t="s">
        <v>15</v>
      </c>
      <c r="C41" s="12" t="s">
        <v>143</v>
      </c>
      <c r="D41" s="12" t="s">
        <v>144</v>
      </c>
      <c r="E41" s="12"/>
      <c r="F41" s="12" t="s">
        <v>145</v>
      </c>
      <c r="G41" s="12" t="s">
        <v>19</v>
      </c>
      <c r="H41" s="12" t="s">
        <v>146</v>
      </c>
      <c r="I41" s="10" t="s">
        <v>21</v>
      </c>
      <c r="J41" s="12" t="s">
        <v>22</v>
      </c>
      <c r="K41" s="15" t="str">
        <f>_xlfn.DISPIMG("ID_882DE6AC8F7B493C97BD721EE0717CDC",1)</f>
        <v>=DISPIMG("ID_882DE6AC8F7B493C97BD721EE0717CDC",1)</v>
      </c>
      <c r="L41" s="11" t="str">
        <f>_xlfn.DISPIMG("ID_478218BD8F214DEA8AF17E65ECBBFABA",1)</f>
        <v>=DISPIMG("ID_478218BD8F214DEA8AF17E65ECBBFABA",1)</v>
      </c>
    </row>
    <row r="42" ht="409.5" spans="1:12">
      <c r="A42" s="10">
        <v>38</v>
      </c>
      <c r="B42" s="11" t="s">
        <v>15</v>
      </c>
      <c r="C42" s="12" t="s">
        <v>147</v>
      </c>
      <c r="D42" s="12" t="s">
        <v>148</v>
      </c>
      <c r="E42" s="12"/>
      <c r="F42" s="12" t="s">
        <v>149</v>
      </c>
      <c r="G42" s="12" t="s">
        <v>19</v>
      </c>
      <c r="H42" s="12" t="s">
        <v>150</v>
      </c>
      <c r="I42" s="10" t="s">
        <v>21</v>
      </c>
      <c r="J42" s="12" t="s">
        <v>22</v>
      </c>
      <c r="K42" s="15" t="str">
        <f>_xlfn.DISPIMG("ID_08FAFC86E53F44E9994A359059A29616",1)</f>
        <v>=DISPIMG("ID_08FAFC86E53F44E9994A359059A29616",1)</v>
      </c>
      <c r="L42" s="11" t="str">
        <f>_xlfn.DISPIMG("ID_6DD093E0D68A453E918A9D2F2661EEFF",1)</f>
        <v>=DISPIMG("ID_6DD093E0D68A453E918A9D2F2661EEFF",1)</v>
      </c>
    </row>
    <row r="43" ht="409.5" spans="1:12">
      <c r="A43" s="10">
        <v>39</v>
      </c>
      <c r="B43" s="11" t="s">
        <v>15</v>
      </c>
      <c r="C43" s="12" t="s">
        <v>151</v>
      </c>
      <c r="D43" s="12" t="s">
        <v>152</v>
      </c>
      <c r="E43" s="12"/>
      <c r="F43" s="12" t="s">
        <v>153</v>
      </c>
      <c r="G43" s="12" t="s">
        <v>19</v>
      </c>
      <c r="H43" s="12" t="s">
        <v>154</v>
      </c>
      <c r="I43" s="10" t="s">
        <v>21</v>
      </c>
      <c r="J43" s="12" t="s">
        <v>22</v>
      </c>
      <c r="K43" s="15" t="str">
        <f>_xlfn.DISPIMG("ID_76FD677490944A90B0950A5C94023FD1",1)</f>
        <v>=DISPIMG("ID_76FD677490944A90B0950A5C94023FD1",1)</v>
      </c>
      <c r="L43" s="11" t="str">
        <f>_xlfn.DISPIMG("ID_56A54961D2AB478C8403E68E93FB100B",1)</f>
        <v>=DISPIMG("ID_56A54961D2AB478C8403E68E93FB100B",1)</v>
      </c>
    </row>
    <row r="44" ht="409.5" spans="1:12">
      <c r="A44" s="10">
        <v>40</v>
      </c>
      <c r="B44" s="11" t="s">
        <v>15</v>
      </c>
      <c r="C44" s="12" t="s">
        <v>155</v>
      </c>
      <c r="D44" s="12" t="s">
        <v>156</v>
      </c>
      <c r="E44" s="12"/>
      <c r="F44" s="12" t="s">
        <v>157</v>
      </c>
      <c r="G44" s="12" t="s">
        <v>19</v>
      </c>
      <c r="H44" s="12" t="s">
        <v>158</v>
      </c>
      <c r="I44" s="10" t="s">
        <v>21</v>
      </c>
      <c r="J44" s="12" t="s">
        <v>22</v>
      </c>
      <c r="K44" s="15" t="str">
        <f>_xlfn.DISPIMG("ID_B64CE29F1D104BB8AD162546DF8A313F",1)</f>
        <v>=DISPIMG("ID_B64CE29F1D104BB8AD162546DF8A313F",1)</v>
      </c>
      <c r="L44" s="11" t="str">
        <f>_xlfn.DISPIMG("ID_3061771B76C34DCCABC4FE3783217A32",1)</f>
        <v>=DISPIMG("ID_3061771B76C34DCCABC4FE3783217A32",1)</v>
      </c>
    </row>
    <row r="45" ht="409.5" spans="1:12">
      <c r="A45" s="10">
        <v>41</v>
      </c>
      <c r="B45" s="11" t="s">
        <v>15</v>
      </c>
      <c r="C45" s="12" t="s">
        <v>159</v>
      </c>
      <c r="D45" s="12" t="s">
        <v>160</v>
      </c>
      <c r="E45" s="12"/>
      <c r="F45" s="12" t="s">
        <v>161</v>
      </c>
      <c r="G45" s="12" t="s">
        <v>19</v>
      </c>
      <c r="H45" s="12" t="s">
        <v>162</v>
      </c>
      <c r="I45" s="10" t="s">
        <v>21</v>
      </c>
      <c r="J45" s="12" t="s">
        <v>22</v>
      </c>
      <c r="K45" s="15" t="str">
        <f>_xlfn.DISPIMG("ID_921903430344459BADA2B12F3219C581",1)</f>
        <v>=DISPIMG("ID_921903430344459BADA2B12F3219C581",1)</v>
      </c>
      <c r="L45" s="11" t="str">
        <f>_xlfn.DISPIMG("ID_B07690EC376E4221BF2305B2E3437730",1)</f>
        <v>=DISPIMG("ID_B07690EC376E4221BF2305B2E3437730",1)</v>
      </c>
    </row>
    <row r="46" ht="409.5" spans="1:12">
      <c r="A46" s="10">
        <v>42</v>
      </c>
      <c r="B46" s="11" t="s">
        <v>15</v>
      </c>
      <c r="C46" s="12" t="s">
        <v>163</v>
      </c>
      <c r="D46" s="12" t="s">
        <v>164</v>
      </c>
      <c r="E46" s="12"/>
      <c r="F46" s="12" t="s">
        <v>165</v>
      </c>
      <c r="G46" s="12" t="s">
        <v>19</v>
      </c>
      <c r="H46" s="12" t="s">
        <v>166</v>
      </c>
      <c r="I46" s="10" t="s">
        <v>21</v>
      </c>
      <c r="J46" s="12" t="s">
        <v>22</v>
      </c>
      <c r="K46" s="15" t="str">
        <f>_xlfn.DISPIMG("ID_BAD1B561289F49009F009C0638FC4074",1)</f>
        <v>=DISPIMG("ID_BAD1B561289F49009F009C0638FC4074",1)</v>
      </c>
      <c r="L46" s="11" t="str">
        <f>_xlfn.DISPIMG("ID_703AF7D5308E4EB599C235E15D65258C",1)</f>
        <v>=DISPIMG("ID_703AF7D5308E4EB599C235E15D65258C",1)</v>
      </c>
    </row>
    <row r="47" ht="409.5" spans="1:12">
      <c r="A47" s="10">
        <v>43</v>
      </c>
      <c r="B47" s="11" t="s">
        <v>15</v>
      </c>
      <c r="C47" s="12" t="s">
        <v>167</v>
      </c>
      <c r="D47" s="12" t="s">
        <v>168</v>
      </c>
      <c r="E47" s="12"/>
      <c r="F47" s="12" t="s">
        <v>169</v>
      </c>
      <c r="G47" s="12" t="s">
        <v>19</v>
      </c>
      <c r="H47" s="12" t="s">
        <v>166</v>
      </c>
      <c r="I47" s="10" t="s">
        <v>21</v>
      </c>
      <c r="J47" s="12" t="s">
        <v>22</v>
      </c>
      <c r="K47" s="15" t="str">
        <f>_xlfn.DISPIMG("ID_A4544C48309A416D9A4092B9E736DE0E",1)</f>
        <v>=DISPIMG("ID_A4544C48309A416D9A4092B9E736DE0E",1)</v>
      </c>
      <c r="L47" s="11" t="str">
        <f>_xlfn.DISPIMG("ID_CFC07338D6EF480A9032DD18D4763526",1)</f>
        <v>=DISPIMG("ID_CFC07338D6EF480A9032DD18D4763526",1)</v>
      </c>
    </row>
    <row r="48" ht="409.5" spans="1:12">
      <c r="A48" s="10">
        <v>44</v>
      </c>
      <c r="B48" s="11" t="s">
        <v>15</v>
      </c>
      <c r="C48" s="12" t="s">
        <v>170</v>
      </c>
      <c r="D48" s="12" t="s">
        <v>171</v>
      </c>
      <c r="E48" s="12"/>
      <c r="F48" s="12" t="s">
        <v>172</v>
      </c>
      <c r="G48" s="12" t="s">
        <v>19</v>
      </c>
      <c r="H48" s="12" t="s">
        <v>173</v>
      </c>
      <c r="I48" s="10" t="s">
        <v>21</v>
      </c>
      <c r="J48" s="12" t="s">
        <v>22</v>
      </c>
      <c r="K48" s="15" t="str">
        <f>_xlfn.DISPIMG("ID_CD2C6CF4303E4A40B1A2252808C33F98",1)</f>
        <v>=DISPIMG("ID_CD2C6CF4303E4A40B1A2252808C33F98",1)</v>
      </c>
      <c r="L48" s="11" t="str">
        <f>_xlfn.DISPIMG("ID_C1271B27AC404059A57CAF8C5E65D807",1)</f>
        <v>=DISPIMG("ID_C1271B27AC404059A57CAF8C5E65D807",1)</v>
      </c>
    </row>
    <row r="49" ht="409.5" spans="1:12">
      <c r="A49" s="10">
        <v>45</v>
      </c>
      <c r="B49" s="11" t="s">
        <v>15</v>
      </c>
      <c r="C49" s="12" t="s">
        <v>174</v>
      </c>
      <c r="D49" s="12" t="s">
        <v>175</v>
      </c>
      <c r="E49" s="12"/>
      <c r="F49" s="12" t="s">
        <v>176</v>
      </c>
      <c r="G49" s="12" t="s">
        <v>19</v>
      </c>
      <c r="H49" s="12" t="s">
        <v>118</v>
      </c>
      <c r="I49" s="10" t="s">
        <v>21</v>
      </c>
      <c r="J49" s="12" t="s">
        <v>22</v>
      </c>
      <c r="K49" s="15" t="str">
        <f>_xlfn.DISPIMG("ID_FC7B3A76FDD84CC481B1569437790F0F",1)</f>
        <v>=DISPIMG("ID_FC7B3A76FDD84CC481B1569437790F0F",1)</v>
      </c>
      <c r="L49" s="11" t="str">
        <f>_xlfn.DISPIMG("ID_7E63A7260C7845C2AF62F34A0C008545",1)</f>
        <v>=DISPIMG("ID_7E63A7260C7845C2AF62F34A0C008545",1)</v>
      </c>
    </row>
    <row r="50" ht="409.5" spans="1:12">
      <c r="A50" s="10">
        <v>46</v>
      </c>
      <c r="B50" s="11" t="s">
        <v>15</v>
      </c>
      <c r="C50" s="12" t="s">
        <v>177</v>
      </c>
      <c r="D50" s="12" t="s">
        <v>178</v>
      </c>
      <c r="E50" s="12"/>
      <c r="F50" s="12" t="s">
        <v>179</v>
      </c>
      <c r="G50" s="12" t="s">
        <v>19</v>
      </c>
      <c r="H50" s="12" t="s">
        <v>118</v>
      </c>
      <c r="I50" s="10" t="s">
        <v>21</v>
      </c>
      <c r="J50" s="12" t="s">
        <v>22</v>
      </c>
      <c r="K50" s="15" t="str">
        <f>_xlfn.DISPIMG("ID_FDFCF73D571C4FAF88A293AE95650692",1)</f>
        <v>=DISPIMG("ID_FDFCF73D571C4FAF88A293AE95650692",1)</v>
      </c>
      <c r="L50" s="11" t="str">
        <f>_xlfn.DISPIMG("ID_D402D3C59C5D44B6949E99DCE3F9943D",1)</f>
        <v>=DISPIMG("ID_D402D3C59C5D44B6949E99DCE3F9943D",1)</v>
      </c>
    </row>
    <row r="51" ht="409.5" spans="1:12">
      <c r="A51" s="10">
        <v>47</v>
      </c>
      <c r="B51" s="11" t="s">
        <v>15</v>
      </c>
      <c r="C51" s="12" t="s">
        <v>180</v>
      </c>
      <c r="D51" s="12" t="s">
        <v>181</v>
      </c>
      <c r="E51" s="12"/>
      <c r="F51" s="12" t="s">
        <v>182</v>
      </c>
      <c r="G51" s="12" t="s">
        <v>19</v>
      </c>
      <c r="H51" s="12" t="s">
        <v>158</v>
      </c>
      <c r="I51" s="10" t="s">
        <v>21</v>
      </c>
      <c r="J51" s="12" t="s">
        <v>22</v>
      </c>
      <c r="K51" s="15" t="str">
        <f>_xlfn.DISPIMG("ID_0879138FF2414D7DA2ED6717195086C0",1)</f>
        <v>=DISPIMG("ID_0879138FF2414D7DA2ED6717195086C0",1)</v>
      </c>
      <c r="L51" s="11" t="str">
        <f>_xlfn.DISPIMG("ID_565D5205B7BA4EF89AFCF43BD8657905",1)</f>
        <v>=DISPIMG("ID_565D5205B7BA4EF89AFCF43BD8657905",1)</v>
      </c>
    </row>
    <row r="52" ht="409.5" spans="1:12">
      <c r="A52" s="10">
        <v>48</v>
      </c>
      <c r="B52" s="11" t="s">
        <v>15</v>
      </c>
      <c r="C52" s="12" t="s">
        <v>183</v>
      </c>
      <c r="D52" s="12" t="s">
        <v>184</v>
      </c>
      <c r="E52" s="12"/>
      <c r="F52" s="12" t="s">
        <v>185</v>
      </c>
      <c r="G52" s="12" t="s">
        <v>19</v>
      </c>
      <c r="H52" s="12" t="s">
        <v>40</v>
      </c>
      <c r="I52" s="10" t="s">
        <v>21</v>
      </c>
      <c r="J52" s="12" t="s">
        <v>22</v>
      </c>
      <c r="K52" s="15" t="str">
        <f>_xlfn.DISPIMG("ID_248E685D07AF429C9C36DB6C3EB2D2FD",1)</f>
        <v>=DISPIMG("ID_248E685D07AF429C9C36DB6C3EB2D2FD",1)</v>
      </c>
      <c r="L52" s="11" t="str">
        <f>_xlfn.DISPIMG("ID_2DAB10003D7542C7BC2618D743A8EE45",1)</f>
        <v>=DISPIMG("ID_2DAB10003D7542C7BC2618D743A8EE45",1)</v>
      </c>
    </row>
    <row r="53" ht="409.5" spans="1:12">
      <c r="A53" s="10">
        <v>49</v>
      </c>
      <c r="B53" s="11" t="s">
        <v>15</v>
      </c>
      <c r="C53" s="12" t="s">
        <v>186</v>
      </c>
      <c r="D53" s="12" t="s">
        <v>187</v>
      </c>
      <c r="E53" s="12"/>
      <c r="F53" s="12" t="s">
        <v>188</v>
      </c>
      <c r="G53" s="12" t="s">
        <v>19</v>
      </c>
      <c r="H53" s="12" t="s">
        <v>26</v>
      </c>
      <c r="I53" s="10" t="s">
        <v>21</v>
      </c>
      <c r="J53" s="12" t="s">
        <v>22</v>
      </c>
      <c r="K53" s="15" t="str">
        <f>_xlfn.DISPIMG("ID_53D4AF21C1264361B6FC3E0D0361006E",1)</f>
        <v>=DISPIMG("ID_53D4AF21C1264361B6FC3E0D0361006E",1)</v>
      </c>
      <c r="L53" s="11" t="str">
        <f>_xlfn.DISPIMG("ID_41A4B58286BE4A979137865B5D7EB516",1)</f>
        <v>=DISPIMG("ID_41A4B58286BE4A979137865B5D7EB516",1)</v>
      </c>
    </row>
    <row r="54" ht="409.5" spans="1:12">
      <c r="A54" s="10">
        <v>51</v>
      </c>
      <c r="B54" s="11" t="s">
        <v>15</v>
      </c>
      <c r="C54" s="12" t="s">
        <v>189</v>
      </c>
      <c r="D54" s="12" t="s">
        <v>190</v>
      </c>
      <c r="E54" s="12"/>
      <c r="F54" s="12" t="s">
        <v>191</v>
      </c>
      <c r="G54" s="12" t="s">
        <v>19</v>
      </c>
      <c r="H54" s="12" t="s">
        <v>26</v>
      </c>
      <c r="I54" s="10" t="s">
        <v>21</v>
      </c>
      <c r="J54" s="12" t="s">
        <v>22</v>
      </c>
      <c r="K54" s="15" t="str">
        <f>_xlfn.DISPIMG("ID_6D815FBFB4614A4E82E909E5A056BF21",1)</f>
        <v>=DISPIMG("ID_6D815FBFB4614A4E82E909E5A056BF21",1)</v>
      </c>
      <c r="L54" s="11" t="str">
        <f>_xlfn.DISPIMG("ID_93E0841370F34F0CBECCFBA8A3912C6F",1)</f>
        <v>=DISPIMG("ID_93E0841370F34F0CBECCFBA8A3912C6F",1)</v>
      </c>
    </row>
    <row r="55" ht="409.5" spans="1:12">
      <c r="A55" s="10">
        <v>51</v>
      </c>
      <c r="B55" s="11" t="s">
        <v>15</v>
      </c>
      <c r="C55" s="12" t="s">
        <v>192</v>
      </c>
      <c r="D55" s="12" t="s">
        <v>193</v>
      </c>
      <c r="E55" s="12"/>
      <c r="F55" s="12" t="s">
        <v>194</v>
      </c>
      <c r="G55" s="12" t="s">
        <v>19</v>
      </c>
      <c r="H55" s="12" t="s">
        <v>118</v>
      </c>
      <c r="I55" s="10" t="s">
        <v>21</v>
      </c>
      <c r="J55" s="12" t="s">
        <v>22</v>
      </c>
      <c r="K55" s="15" t="str">
        <f>_xlfn.DISPIMG("ID_9B8F8BF1240A45898B2684E491D41426",1)</f>
        <v>=DISPIMG("ID_9B8F8BF1240A45898B2684E491D41426",1)</v>
      </c>
      <c r="L55" s="11" t="str">
        <f>_xlfn.DISPIMG("ID_062FE8A9A63F4A8FB4200154C586E545",1)</f>
        <v>=DISPIMG("ID_062FE8A9A63F4A8FB4200154C586E545",1)</v>
      </c>
    </row>
    <row r="56" ht="409.5" spans="1:12">
      <c r="A56" s="10">
        <v>52</v>
      </c>
      <c r="B56" s="11" t="s">
        <v>15</v>
      </c>
      <c r="C56" s="12" t="s">
        <v>195</v>
      </c>
      <c r="D56" s="12" t="s">
        <v>196</v>
      </c>
      <c r="E56" s="12"/>
      <c r="F56" s="12" t="s">
        <v>197</v>
      </c>
      <c r="G56" s="12" t="s">
        <v>19</v>
      </c>
      <c r="H56" s="12" t="s">
        <v>114</v>
      </c>
      <c r="I56" s="10" t="s">
        <v>21</v>
      </c>
      <c r="J56" s="12" t="s">
        <v>22</v>
      </c>
      <c r="K56" s="15" t="str">
        <f>_xlfn.DISPIMG("ID_04987343455B49DDB588703EA6F26833",1)</f>
        <v>=DISPIMG("ID_04987343455B49DDB588703EA6F26833",1)</v>
      </c>
      <c r="L56" s="11" t="str">
        <f>_xlfn.DISPIMG("ID_FA81AC23422E4E2C928C330C7D084897",1)</f>
        <v>=DISPIMG("ID_FA81AC23422E4E2C928C330C7D084897",1)</v>
      </c>
    </row>
    <row r="57" ht="409.5" spans="1:12">
      <c r="A57" s="10">
        <v>53</v>
      </c>
      <c r="B57" s="11" t="s">
        <v>15</v>
      </c>
      <c r="C57" s="12" t="s">
        <v>198</v>
      </c>
      <c r="D57" s="12" t="s">
        <v>199</v>
      </c>
      <c r="E57" s="12"/>
      <c r="F57" s="12" t="s">
        <v>200</v>
      </c>
      <c r="G57" s="12" t="s">
        <v>19</v>
      </c>
      <c r="H57" s="12" t="s">
        <v>201</v>
      </c>
      <c r="I57" s="10" t="s">
        <v>21</v>
      </c>
      <c r="J57" s="12" t="s">
        <v>22</v>
      </c>
      <c r="K57" s="15" t="str">
        <f>_xlfn.DISPIMG("ID_8A6C01C5634E46C8B9A277E881FBAA0D",1)</f>
        <v>=DISPIMG("ID_8A6C01C5634E46C8B9A277E881FBAA0D",1)</v>
      </c>
      <c r="L57" s="11" t="str">
        <f>_xlfn.DISPIMG("ID_0BB99B96E426434EA80C0E3983CB64B6",1)</f>
        <v>=DISPIMG("ID_0BB99B96E426434EA80C0E3983CB64B6",1)</v>
      </c>
    </row>
    <row r="58" ht="409.5" spans="1:12">
      <c r="A58" s="10">
        <v>54</v>
      </c>
      <c r="B58" s="11" t="s">
        <v>15</v>
      </c>
      <c r="C58" s="12" t="s">
        <v>202</v>
      </c>
      <c r="D58" s="12" t="s">
        <v>203</v>
      </c>
      <c r="E58" s="12"/>
      <c r="F58" s="12" t="s">
        <v>204</v>
      </c>
      <c r="G58" s="12" t="s">
        <v>19</v>
      </c>
      <c r="H58" s="12" t="s">
        <v>135</v>
      </c>
      <c r="I58" s="10" t="s">
        <v>21</v>
      </c>
      <c r="J58" s="12" t="s">
        <v>22</v>
      </c>
      <c r="K58" s="15" t="str">
        <f>_xlfn.DISPIMG("ID_BE45815FAC2543C596DE079B8D80ADAC",1)</f>
        <v>=DISPIMG("ID_BE45815FAC2543C596DE079B8D80ADAC",1)</v>
      </c>
      <c r="L58" s="11" t="str">
        <f>_xlfn.DISPIMG("ID_444F35F9DE984D0AA0468DEA3E0F63F6",1)</f>
        <v>=DISPIMG("ID_444F35F9DE984D0AA0468DEA3E0F63F6",1)</v>
      </c>
    </row>
    <row r="59" ht="409.5" spans="1:12">
      <c r="A59" s="10">
        <v>55</v>
      </c>
      <c r="B59" s="11" t="s">
        <v>15</v>
      </c>
      <c r="C59" s="12" t="s">
        <v>205</v>
      </c>
      <c r="D59" s="12" t="s">
        <v>206</v>
      </c>
      <c r="E59" s="12"/>
      <c r="F59" s="12" t="s">
        <v>207</v>
      </c>
      <c r="G59" s="12" t="s">
        <v>19</v>
      </c>
      <c r="H59" s="12" t="s">
        <v>208</v>
      </c>
      <c r="I59" s="10" t="s">
        <v>21</v>
      </c>
      <c r="J59" s="12" t="s">
        <v>22</v>
      </c>
      <c r="K59" s="15" t="str">
        <f>_xlfn.DISPIMG("ID_A5F2F94DE01247A993ED98AB9D522736",1)</f>
        <v>=DISPIMG("ID_A5F2F94DE01247A993ED98AB9D522736",1)</v>
      </c>
      <c r="L59" s="11" t="str">
        <f>_xlfn.DISPIMG("ID_5DD4A02988424A22A133637C473B0F95",1)</f>
        <v>=DISPIMG("ID_5DD4A02988424A22A133637C473B0F95",1)</v>
      </c>
    </row>
    <row r="60" ht="409.5" spans="1:12">
      <c r="A60" s="10">
        <v>56</v>
      </c>
      <c r="B60" s="11" t="s">
        <v>15</v>
      </c>
      <c r="C60" s="12" t="s">
        <v>209</v>
      </c>
      <c r="D60" s="12" t="s">
        <v>210</v>
      </c>
      <c r="E60" s="12"/>
      <c r="F60" s="12" t="s">
        <v>211</v>
      </c>
      <c r="G60" s="12" t="s">
        <v>19</v>
      </c>
      <c r="H60" s="12" t="s">
        <v>212</v>
      </c>
      <c r="I60" s="10" t="s">
        <v>21</v>
      </c>
      <c r="J60" s="12" t="s">
        <v>22</v>
      </c>
      <c r="K60" s="15" t="str">
        <f>_xlfn.DISPIMG("ID_F548AC89A9404FFEA52045D9E5C83A16",1)</f>
        <v>=DISPIMG("ID_F548AC89A9404FFEA52045D9E5C83A16",1)</v>
      </c>
      <c r="L60" s="11" t="str">
        <f>_xlfn.DISPIMG("ID_E5D05659EA824AC7A2715FD3F5D8F424",1)</f>
        <v>=DISPIMG("ID_E5D05659EA824AC7A2715FD3F5D8F424",1)</v>
      </c>
    </row>
    <row r="61" ht="409.5" spans="1:12">
      <c r="A61" s="10">
        <v>57</v>
      </c>
      <c r="B61" s="11" t="s">
        <v>15</v>
      </c>
      <c r="C61" s="12" t="s">
        <v>213</v>
      </c>
      <c r="D61" s="12" t="s">
        <v>214</v>
      </c>
      <c r="E61" s="12"/>
      <c r="F61" s="12" t="s">
        <v>215</v>
      </c>
      <c r="G61" s="12" t="s">
        <v>19</v>
      </c>
      <c r="H61" s="12" t="s">
        <v>216</v>
      </c>
      <c r="I61" s="10" t="s">
        <v>21</v>
      </c>
      <c r="J61" s="12" t="s">
        <v>22</v>
      </c>
      <c r="K61" s="15" t="str">
        <f>_xlfn.DISPIMG("ID_029B4A54137748278E6C48695C6D207D",1)</f>
        <v>=DISPIMG("ID_029B4A54137748278E6C48695C6D207D",1)</v>
      </c>
      <c r="L61" s="11" t="str">
        <f>_xlfn.DISPIMG("ID_E7CC029BDC3142F4BEE8D724F74AE215",1)</f>
        <v>=DISPIMG("ID_E7CC029BDC3142F4BEE8D724F74AE215",1)</v>
      </c>
    </row>
    <row r="62" ht="409.5" spans="1:12">
      <c r="A62" s="10">
        <v>58</v>
      </c>
      <c r="B62" s="11" t="s">
        <v>15</v>
      </c>
      <c r="C62" s="12" t="s">
        <v>217</v>
      </c>
      <c r="D62" s="12" t="s">
        <v>218</v>
      </c>
      <c r="E62" s="12"/>
      <c r="F62" s="12" t="s">
        <v>219</v>
      </c>
      <c r="G62" s="12" t="s">
        <v>19</v>
      </c>
      <c r="H62" s="12" t="s">
        <v>212</v>
      </c>
      <c r="I62" s="10" t="s">
        <v>21</v>
      </c>
      <c r="J62" s="12" t="s">
        <v>22</v>
      </c>
      <c r="K62" s="15" t="str">
        <f>_xlfn.DISPIMG("ID_04470D6396F5423181AA980638D76820",1)</f>
        <v>=DISPIMG("ID_04470D6396F5423181AA980638D76820",1)</v>
      </c>
      <c r="L62" s="11" t="str">
        <f>_xlfn.DISPIMG("ID_01D6647CEFB6402B9ABF853263B73112",1)</f>
        <v>=DISPIMG("ID_01D6647CEFB6402B9ABF853263B73112",1)</v>
      </c>
    </row>
    <row r="63" ht="409.5" spans="1:12">
      <c r="A63" s="10">
        <v>59</v>
      </c>
      <c r="B63" s="11" t="s">
        <v>15</v>
      </c>
      <c r="C63" s="12" t="s">
        <v>220</v>
      </c>
      <c r="D63" s="12" t="s">
        <v>221</v>
      </c>
      <c r="E63" s="12"/>
      <c r="F63" s="12" t="s">
        <v>222</v>
      </c>
      <c r="G63" s="12" t="s">
        <v>19</v>
      </c>
      <c r="H63" s="12" t="s">
        <v>212</v>
      </c>
      <c r="I63" s="10" t="s">
        <v>21</v>
      </c>
      <c r="J63" s="12" t="s">
        <v>22</v>
      </c>
      <c r="K63" s="15" t="str">
        <f>_xlfn.DISPIMG("ID_2345B1EA6AE64F488C0E523D635BED27",1)</f>
        <v>=DISPIMG("ID_2345B1EA6AE64F488C0E523D635BED27",1)</v>
      </c>
      <c r="L63" s="11" t="str">
        <f>_xlfn.DISPIMG("ID_5E4913CE63E14AD5994A7A666D4344B3",1)</f>
        <v>=DISPIMG("ID_5E4913CE63E14AD5994A7A666D4344B3",1)</v>
      </c>
    </row>
    <row r="64" ht="409.5" spans="1:12">
      <c r="A64" s="10">
        <v>60</v>
      </c>
      <c r="B64" s="11" t="s">
        <v>15</v>
      </c>
      <c r="C64" s="12" t="s">
        <v>223</v>
      </c>
      <c r="D64" s="12" t="s">
        <v>224</v>
      </c>
      <c r="E64" s="12"/>
      <c r="F64" s="12" t="s">
        <v>225</v>
      </c>
      <c r="G64" s="12" t="s">
        <v>19</v>
      </c>
      <c r="H64" s="12" t="s">
        <v>212</v>
      </c>
      <c r="I64" s="10" t="s">
        <v>21</v>
      </c>
      <c r="J64" s="12" t="s">
        <v>22</v>
      </c>
      <c r="K64" s="15" t="str">
        <f>_xlfn.DISPIMG("ID_5998CFF1176C40F48B241288DEFCAD18",1)</f>
        <v>=DISPIMG("ID_5998CFF1176C40F48B241288DEFCAD18",1)</v>
      </c>
      <c r="L64" s="11" t="str">
        <f>_xlfn.DISPIMG("ID_0670E08BEA994A579B51BB94D7FD726D",1)</f>
        <v>=DISPIMG("ID_0670E08BEA994A579B51BB94D7FD726D",1)</v>
      </c>
    </row>
    <row r="65" ht="409.5" spans="1:12">
      <c r="A65" s="10">
        <v>61</v>
      </c>
      <c r="B65" s="11" t="s">
        <v>15</v>
      </c>
      <c r="C65" s="12" t="s">
        <v>226</v>
      </c>
      <c r="D65" s="12" t="s">
        <v>227</v>
      </c>
      <c r="E65" s="12"/>
      <c r="F65" s="12" t="s">
        <v>228</v>
      </c>
      <c r="G65" s="12" t="s">
        <v>19</v>
      </c>
      <c r="H65" s="12" t="s">
        <v>212</v>
      </c>
      <c r="I65" s="10" t="s">
        <v>21</v>
      </c>
      <c r="J65" s="12" t="s">
        <v>22</v>
      </c>
      <c r="K65" s="15" t="str">
        <f>_xlfn.DISPIMG("ID_B3CF57A949854FAF9A2936E5E6D1E5A5",1)</f>
        <v>=DISPIMG("ID_B3CF57A949854FAF9A2936E5E6D1E5A5",1)</v>
      </c>
      <c r="L65" s="11" t="str">
        <f>_xlfn.DISPIMG("ID_C3A3B661923344E28780C3439F220E71",1)</f>
        <v>=DISPIMG("ID_C3A3B661923344E28780C3439F220E71",1)</v>
      </c>
    </row>
    <row r="66" ht="409.5" spans="1:12">
      <c r="A66" s="10">
        <v>62</v>
      </c>
      <c r="B66" s="11" t="s">
        <v>15</v>
      </c>
      <c r="C66" s="12" t="s">
        <v>229</v>
      </c>
      <c r="D66" s="12" t="s">
        <v>230</v>
      </c>
      <c r="E66" s="12"/>
      <c r="F66" s="12" t="s">
        <v>231</v>
      </c>
      <c r="G66" s="12" t="s">
        <v>19</v>
      </c>
      <c r="H66" s="12" t="s">
        <v>212</v>
      </c>
      <c r="I66" s="10" t="s">
        <v>21</v>
      </c>
      <c r="J66" s="12" t="s">
        <v>22</v>
      </c>
      <c r="K66" s="15" t="str">
        <f>_xlfn.DISPIMG("ID_0ED6917632DA4A66BB26BC431A294B88",1)</f>
        <v>=DISPIMG("ID_0ED6917632DA4A66BB26BC431A294B88",1)</v>
      </c>
      <c r="L66" s="11" t="str">
        <f>_xlfn.DISPIMG("ID_2F6F7CFDFA7045E08D63B9C61794F1D8",1)</f>
        <v>=DISPIMG("ID_2F6F7CFDFA7045E08D63B9C61794F1D8",1)</v>
      </c>
    </row>
    <row r="67" ht="409.5" spans="1:12">
      <c r="A67" s="10">
        <v>63</v>
      </c>
      <c r="B67" s="11" t="s">
        <v>15</v>
      </c>
      <c r="C67" s="12" t="s">
        <v>232</v>
      </c>
      <c r="D67" s="12" t="s">
        <v>233</v>
      </c>
      <c r="E67" s="12"/>
      <c r="F67" s="12" t="s">
        <v>234</v>
      </c>
      <c r="G67" s="12" t="s">
        <v>19</v>
      </c>
      <c r="H67" s="12" t="s">
        <v>235</v>
      </c>
      <c r="I67" s="10" t="s">
        <v>21</v>
      </c>
      <c r="J67" s="12" t="s">
        <v>22</v>
      </c>
      <c r="K67" s="15" t="str">
        <f>_xlfn.DISPIMG("ID_4B3D722482F9479B94EAC1AD4951B6AB",1)</f>
        <v>=DISPIMG("ID_4B3D722482F9479B94EAC1AD4951B6AB",1)</v>
      </c>
      <c r="L67" s="11" t="str">
        <f>_xlfn.DISPIMG("ID_A3DE3D63E8154752BAC51C41E78089D2",1)</f>
        <v>=DISPIMG("ID_A3DE3D63E8154752BAC51C41E78089D2",1)</v>
      </c>
    </row>
    <row r="68" ht="409.5" spans="1:12">
      <c r="A68" s="10">
        <v>64</v>
      </c>
      <c r="B68" s="11" t="s">
        <v>15</v>
      </c>
      <c r="C68" s="12" t="s">
        <v>236</v>
      </c>
      <c r="D68" s="12" t="s">
        <v>237</v>
      </c>
      <c r="E68" s="12"/>
      <c r="F68" s="12" t="s">
        <v>238</v>
      </c>
      <c r="G68" s="12" t="s">
        <v>19</v>
      </c>
      <c r="H68" s="12" t="s">
        <v>235</v>
      </c>
      <c r="I68" s="10" t="s">
        <v>21</v>
      </c>
      <c r="J68" s="12" t="s">
        <v>22</v>
      </c>
      <c r="K68" s="15" t="str">
        <f>_xlfn.DISPIMG("ID_8019885FC579427D9994EADE3A43188B",1)</f>
        <v>=DISPIMG("ID_8019885FC579427D9994EADE3A43188B",1)</v>
      </c>
      <c r="L68" s="11" t="str">
        <f>_xlfn.DISPIMG("ID_366CA672363A4A74A2D8AF5F7914B888",1)</f>
        <v>=DISPIMG("ID_366CA672363A4A74A2D8AF5F7914B888",1)</v>
      </c>
    </row>
    <row r="69" ht="409.5" spans="1:12">
      <c r="A69" s="10">
        <v>65</v>
      </c>
      <c r="B69" s="11" t="s">
        <v>15</v>
      </c>
      <c r="C69" s="12" t="s">
        <v>239</v>
      </c>
      <c r="D69" s="12" t="s">
        <v>240</v>
      </c>
      <c r="E69" s="12"/>
      <c r="F69" s="12" t="s">
        <v>241</v>
      </c>
      <c r="G69" s="12" t="s">
        <v>19</v>
      </c>
      <c r="H69" s="12" t="s">
        <v>242</v>
      </c>
      <c r="I69" s="10" t="s">
        <v>21</v>
      </c>
      <c r="J69" s="12" t="s">
        <v>22</v>
      </c>
      <c r="K69" s="15" t="str">
        <f>_xlfn.DISPIMG("ID_2B845701EBA040368319E6A192FE282A",1)</f>
        <v>=DISPIMG("ID_2B845701EBA040368319E6A192FE282A",1)</v>
      </c>
      <c r="L69" s="11" t="str">
        <f>_xlfn.DISPIMG("ID_B71FA79C599A4BBA834E309AD4B9BE78",1)</f>
        <v>=DISPIMG("ID_B71FA79C599A4BBA834E309AD4B9BE78",1)</v>
      </c>
    </row>
    <row r="70" ht="409.5" spans="1:12">
      <c r="A70" s="10">
        <v>66</v>
      </c>
      <c r="B70" s="11" t="s">
        <v>15</v>
      </c>
      <c r="C70" s="12" t="s">
        <v>243</v>
      </c>
      <c r="D70" s="12" t="s">
        <v>244</v>
      </c>
      <c r="E70" s="12"/>
      <c r="F70" s="12" t="s">
        <v>245</v>
      </c>
      <c r="G70" s="12" t="s">
        <v>19</v>
      </c>
      <c r="H70" s="12" t="s">
        <v>246</v>
      </c>
      <c r="I70" s="10" t="s">
        <v>21</v>
      </c>
      <c r="J70" s="12" t="s">
        <v>22</v>
      </c>
      <c r="K70" s="15" t="str">
        <f>_xlfn.DISPIMG("ID_2FA27DBA27EB4CE0B4A9E49E3508F1CC",1)</f>
        <v>=DISPIMG("ID_2FA27DBA27EB4CE0B4A9E49E3508F1CC",1)</v>
      </c>
      <c r="L70" s="11" t="str">
        <f>_xlfn.DISPIMG("ID_B173F45FAEEF42F293C48962008016BF",1)</f>
        <v>=DISPIMG("ID_B173F45FAEEF42F293C48962008016BF",1)</v>
      </c>
    </row>
    <row r="71" ht="409.5" spans="1:12">
      <c r="A71" s="10">
        <v>67</v>
      </c>
      <c r="B71" s="11" t="s">
        <v>15</v>
      </c>
      <c r="C71" s="12" t="s">
        <v>247</v>
      </c>
      <c r="D71" s="12" t="s">
        <v>248</v>
      </c>
      <c r="E71" s="12"/>
      <c r="F71" s="12" t="s">
        <v>249</v>
      </c>
      <c r="G71" s="12" t="s">
        <v>19</v>
      </c>
      <c r="H71" s="12" t="s">
        <v>250</v>
      </c>
      <c r="I71" s="10" t="s">
        <v>21</v>
      </c>
      <c r="J71" s="12" t="s">
        <v>22</v>
      </c>
      <c r="K71" s="15" t="str">
        <f>_xlfn.DISPIMG("ID_8B55C78AF5C141E9A4480419C54E0E59",1)</f>
        <v>=DISPIMG("ID_8B55C78AF5C141E9A4480419C54E0E59",1)</v>
      </c>
      <c r="L71" s="11" t="str">
        <f>_xlfn.DISPIMG("ID_BD57A1B2EE4C4956BB3D43F3D840445B",1)</f>
        <v>=DISPIMG("ID_BD57A1B2EE4C4956BB3D43F3D840445B",1)</v>
      </c>
    </row>
    <row r="72" ht="409.5" spans="1:12">
      <c r="A72" s="10">
        <v>68</v>
      </c>
      <c r="B72" s="11" t="s">
        <v>15</v>
      </c>
      <c r="C72" s="12" t="s">
        <v>251</v>
      </c>
      <c r="D72" s="12" t="s">
        <v>252</v>
      </c>
      <c r="E72" s="12"/>
      <c r="F72" s="12" t="s">
        <v>253</v>
      </c>
      <c r="G72" s="12" t="s">
        <v>19</v>
      </c>
      <c r="H72" s="12" t="s">
        <v>254</v>
      </c>
      <c r="I72" s="10" t="s">
        <v>21</v>
      </c>
      <c r="J72" s="12" t="s">
        <v>22</v>
      </c>
      <c r="K72" s="15" t="str">
        <f>_xlfn.DISPIMG("ID_3F04FAA2C3AB4178AD40E73C8E0A641F",1)</f>
        <v>=DISPIMG("ID_3F04FAA2C3AB4178AD40E73C8E0A641F",1)</v>
      </c>
      <c r="L72" s="11" t="str">
        <f>_xlfn.DISPIMG("ID_B86AD6A1296845ED81A2097409B5E454",1)</f>
        <v>=DISPIMG("ID_B86AD6A1296845ED81A2097409B5E454",1)</v>
      </c>
    </row>
    <row r="73" ht="409.5" spans="1:12">
      <c r="A73" s="10">
        <v>69</v>
      </c>
      <c r="B73" s="11" t="s">
        <v>15</v>
      </c>
      <c r="C73" s="12" t="s">
        <v>255</v>
      </c>
      <c r="D73" s="12" t="s">
        <v>256</v>
      </c>
      <c r="E73" s="12"/>
      <c r="F73" s="12" t="s">
        <v>257</v>
      </c>
      <c r="G73" s="12" t="s">
        <v>19</v>
      </c>
      <c r="H73" s="12" t="s">
        <v>258</v>
      </c>
      <c r="I73" s="10" t="s">
        <v>21</v>
      </c>
      <c r="J73" s="12" t="s">
        <v>22</v>
      </c>
      <c r="K73" s="15" t="str">
        <f>_xlfn.DISPIMG("ID_AF2A781FB0E346E7BB19225DB7D362B4",1)</f>
        <v>=DISPIMG("ID_AF2A781FB0E346E7BB19225DB7D362B4",1)</v>
      </c>
      <c r="L73" s="11" t="str">
        <f>_xlfn.DISPIMG("ID_35DB29E69EED459D9FE8D97A326BFE5E",1)</f>
        <v>=DISPIMG("ID_35DB29E69EED459D9FE8D97A326BFE5E",1)</v>
      </c>
    </row>
    <row r="74" ht="409.5" spans="1:12">
      <c r="A74" s="10">
        <v>70</v>
      </c>
      <c r="B74" s="11" t="s">
        <v>15</v>
      </c>
      <c r="C74" s="12" t="s">
        <v>259</v>
      </c>
      <c r="D74" s="12" t="s">
        <v>260</v>
      </c>
      <c r="E74" s="12"/>
      <c r="F74" s="12" t="s">
        <v>261</v>
      </c>
      <c r="G74" s="12" t="s">
        <v>19</v>
      </c>
      <c r="H74" s="12" t="s">
        <v>262</v>
      </c>
      <c r="I74" s="10" t="s">
        <v>21</v>
      </c>
      <c r="J74" s="12" t="s">
        <v>22</v>
      </c>
      <c r="K74" s="15" t="str">
        <f>_xlfn.DISPIMG("ID_E3097E24D9414E55B5EBEE6EEC751891",1)</f>
        <v>=DISPIMG("ID_E3097E24D9414E55B5EBEE6EEC751891",1)</v>
      </c>
      <c r="L74" s="11" t="str">
        <f>_xlfn.DISPIMG("ID_B0CE6151CDA54C628D078B9DB10D9BDE",1)</f>
        <v>=DISPIMG("ID_B0CE6151CDA54C628D078B9DB10D9BDE",1)</v>
      </c>
    </row>
    <row r="75" ht="409.5" spans="1:12">
      <c r="A75" s="10">
        <v>71</v>
      </c>
      <c r="B75" s="11" t="s">
        <v>15</v>
      </c>
      <c r="C75" s="12" t="s">
        <v>263</v>
      </c>
      <c r="D75" s="12" t="s">
        <v>264</v>
      </c>
      <c r="E75" s="12"/>
      <c r="F75" s="12" t="s">
        <v>265</v>
      </c>
      <c r="G75" s="12" t="s">
        <v>19</v>
      </c>
      <c r="H75" s="12" t="s">
        <v>258</v>
      </c>
      <c r="I75" s="10" t="s">
        <v>21</v>
      </c>
      <c r="J75" s="12" t="s">
        <v>22</v>
      </c>
      <c r="K75" s="15" t="str">
        <f>_xlfn.DISPIMG("ID_0376A313FE35427BA1CA911AF5462F60",1)</f>
        <v>=DISPIMG("ID_0376A313FE35427BA1CA911AF5462F60",1)</v>
      </c>
      <c r="L75" s="11" t="str">
        <f>_xlfn.DISPIMG("ID_6A6E943ABE3F43F4A9BF246181998B56",1)</f>
        <v>=DISPIMG("ID_6A6E943ABE3F43F4A9BF246181998B56",1)</v>
      </c>
    </row>
    <row r="76" ht="409.5" spans="1:12">
      <c r="A76" s="10">
        <v>72</v>
      </c>
      <c r="B76" s="11" t="s">
        <v>15</v>
      </c>
      <c r="C76" s="12" t="s">
        <v>266</v>
      </c>
      <c r="D76" s="12" t="s">
        <v>267</v>
      </c>
      <c r="E76" s="12"/>
      <c r="F76" s="12" t="s">
        <v>268</v>
      </c>
      <c r="G76" s="12" t="s">
        <v>19</v>
      </c>
      <c r="H76" s="12" t="s">
        <v>212</v>
      </c>
      <c r="I76" s="10" t="s">
        <v>21</v>
      </c>
      <c r="J76" s="12" t="s">
        <v>22</v>
      </c>
      <c r="K76" s="15" t="str">
        <f>_xlfn.DISPIMG("ID_21348DC59A164EDE9282D6DF98C89C62",1)</f>
        <v>=DISPIMG("ID_21348DC59A164EDE9282D6DF98C89C62",1)</v>
      </c>
      <c r="L76" s="11" t="str">
        <f>_xlfn.DISPIMG("ID_910F16FFA949489D8710CCEDC95DB405",1)</f>
        <v>=DISPIMG("ID_910F16FFA949489D8710CCEDC95DB405",1)</v>
      </c>
    </row>
    <row r="77" ht="409.5" spans="1:12">
      <c r="A77" s="10">
        <v>73</v>
      </c>
      <c r="B77" s="11" t="s">
        <v>15</v>
      </c>
      <c r="C77" s="12" t="s">
        <v>269</v>
      </c>
      <c r="D77" s="12" t="s">
        <v>270</v>
      </c>
      <c r="E77" s="12"/>
      <c r="F77" s="12" t="s">
        <v>271</v>
      </c>
      <c r="G77" s="12" t="s">
        <v>19</v>
      </c>
      <c r="H77" s="12" t="s">
        <v>272</v>
      </c>
      <c r="I77" s="10" t="s">
        <v>21</v>
      </c>
      <c r="J77" s="12" t="s">
        <v>22</v>
      </c>
      <c r="K77" s="15" t="str">
        <f>_xlfn.DISPIMG("ID_5862195BA2444B14929327BBA1EA4151",1)</f>
        <v>=DISPIMG("ID_5862195BA2444B14929327BBA1EA4151",1)</v>
      </c>
      <c r="L77" s="11" t="str">
        <f>_xlfn.DISPIMG("ID_CEEB02C606D84F519A03B8923E8019DA",1)</f>
        <v>=DISPIMG("ID_CEEB02C606D84F519A03B8923E8019DA",1)</v>
      </c>
    </row>
    <row r="78" ht="409.5" spans="1:12">
      <c r="A78" s="10">
        <v>74</v>
      </c>
      <c r="B78" s="11" t="s">
        <v>15</v>
      </c>
      <c r="C78" s="12" t="s">
        <v>273</v>
      </c>
      <c r="D78" s="12" t="s">
        <v>274</v>
      </c>
      <c r="E78" s="12"/>
      <c r="F78" s="12" t="s">
        <v>275</v>
      </c>
      <c r="G78" s="12" t="s">
        <v>19</v>
      </c>
      <c r="H78" s="12" t="s">
        <v>212</v>
      </c>
      <c r="I78" s="10" t="s">
        <v>21</v>
      </c>
      <c r="J78" s="12" t="s">
        <v>22</v>
      </c>
      <c r="K78" s="15" t="str">
        <f>_xlfn.DISPIMG("ID_9A007D915D014223A744CDFE26C6F69F",1)</f>
        <v>=DISPIMG("ID_9A007D915D014223A744CDFE26C6F69F",1)</v>
      </c>
      <c r="L78" s="11" t="str">
        <f>_xlfn.DISPIMG("ID_A6140824DB8D4943A3933CB8ED113B02",1)</f>
        <v>=DISPIMG("ID_A6140824DB8D4943A3933CB8ED113B02",1)</v>
      </c>
    </row>
    <row r="79" ht="409.5" spans="1:12">
      <c r="A79" s="10">
        <v>75</v>
      </c>
      <c r="B79" s="11" t="s">
        <v>15</v>
      </c>
      <c r="C79" s="12" t="s">
        <v>276</v>
      </c>
      <c r="D79" s="12" t="s">
        <v>277</v>
      </c>
      <c r="E79" s="12"/>
      <c r="F79" s="12" t="s">
        <v>278</v>
      </c>
      <c r="G79" s="12" t="s">
        <v>19</v>
      </c>
      <c r="H79" s="12" t="s">
        <v>279</v>
      </c>
      <c r="I79" s="10" t="s">
        <v>21</v>
      </c>
      <c r="J79" s="12" t="s">
        <v>22</v>
      </c>
      <c r="K79" s="15" t="str">
        <f>_xlfn.DISPIMG("ID_D4F9911C37684545A945FDDC7D689AF8",1)</f>
        <v>=DISPIMG("ID_D4F9911C37684545A945FDDC7D689AF8",1)</v>
      </c>
      <c r="L79" s="11" t="str">
        <f>_xlfn.DISPIMG("ID_3E0595D5D3EB4BE8B637A378F181886E",1)</f>
        <v>=DISPIMG("ID_3E0595D5D3EB4BE8B637A378F181886E",1)</v>
      </c>
    </row>
    <row r="80" ht="409.5" spans="1:12">
      <c r="A80" s="10">
        <v>76</v>
      </c>
      <c r="B80" s="11" t="s">
        <v>15</v>
      </c>
      <c r="C80" s="12" t="s">
        <v>280</v>
      </c>
      <c r="D80" s="12" t="s">
        <v>281</v>
      </c>
      <c r="E80" s="12"/>
      <c r="F80" s="12" t="s">
        <v>282</v>
      </c>
      <c r="G80" s="12" t="s">
        <v>19</v>
      </c>
      <c r="H80" s="12" t="s">
        <v>283</v>
      </c>
      <c r="I80" s="10" t="s">
        <v>21</v>
      </c>
      <c r="J80" s="12" t="s">
        <v>22</v>
      </c>
      <c r="K80" s="15" t="str">
        <f>_xlfn.DISPIMG("ID_C4CE47BC954A45BA98326A8649CBCFBB",1)</f>
        <v>=DISPIMG("ID_C4CE47BC954A45BA98326A8649CBCFBB",1)</v>
      </c>
      <c r="L80" s="11" t="str">
        <f>_xlfn.DISPIMG("ID_F6895CBA880E4C1ABBE50A18D1C43FB5",1)</f>
        <v>=DISPIMG("ID_F6895CBA880E4C1ABBE50A18D1C43FB5",1)</v>
      </c>
    </row>
    <row r="81" ht="409.5" spans="1:12">
      <c r="A81" s="10">
        <v>77</v>
      </c>
      <c r="B81" s="11" t="s">
        <v>15</v>
      </c>
      <c r="C81" s="12" t="s">
        <v>273</v>
      </c>
      <c r="D81" s="12" t="s">
        <v>284</v>
      </c>
      <c r="E81" s="12"/>
      <c r="F81" s="12" t="s">
        <v>285</v>
      </c>
      <c r="G81" s="12" t="s">
        <v>19</v>
      </c>
      <c r="H81" s="12" t="s">
        <v>286</v>
      </c>
      <c r="I81" s="10" t="s">
        <v>21</v>
      </c>
      <c r="J81" s="12" t="s">
        <v>22</v>
      </c>
      <c r="K81" s="15" t="str">
        <f>_xlfn.DISPIMG("ID_D709D0AEEE6C4F2FA7996E317F379B1F",1)</f>
        <v>=DISPIMG("ID_D709D0AEEE6C4F2FA7996E317F379B1F",1)</v>
      </c>
      <c r="L81" s="11" t="str">
        <f>_xlfn.DISPIMG("ID_D0A24345B8D74BE2B87462ED6B381D63",1)</f>
        <v>=DISPIMG("ID_D0A24345B8D74BE2B87462ED6B381D63",1)</v>
      </c>
    </row>
    <row r="82" ht="409.5" spans="1:12">
      <c r="A82" s="10">
        <v>78</v>
      </c>
      <c r="B82" s="11" t="s">
        <v>15</v>
      </c>
      <c r="C82" s="12" t="s">
        <v>287</v>
      </c>
      <c r="D82" s="12" t="s">
        <v>288</v>
      </c>
      <c r="E82" s="12"/>
      <c r="F82" s="12" t="s">
        <v>289</v>
      </c>
      <c r="G82" s="12" t="s">
        <v>19</v>
      </c>
      <c r="H82" s="12" t="s">
        <v>290</v>
      </c>
      <c r="I82" s="10" t="s">
        <v>21</v>
      </c>
      <c r="J82" s="12" t="s">
        <v>22</v>
      </c>
      <c r="K82" s="15" t="str">
        <f>_xlfn.DISPIMG("ID_5CB2ED28700D447A8D52AB41EF6D611C",1)</f>
        <v>=DISPIMG("ID_5CB2ED28700D447A8D52AB41EF6D611C",1)</v>
      </c>
      <c r="L82" s="11" t="str">
        <f>_xlfn.DISPIMG("ID_C35643E4DE0843F2A734D656337FE8EC",1)</f>
        <v>=DISPIMG("ID_C35643E4DE0843F2A734D656337FE8EC",1)</v>
      </c>
    </row>
    <row r="83" ht="409.5" spans="1:12">
      <c r="A83" s="10">
        <v>79</v>
      </c>
      <c r="B83" s="11" t="s">
        <v>15</v>
      </c>
      <c r="C83" s="12" t="s">
        <v>291</v>
      </c>
      <c r="D83" s="12" t="s">
        <v>292</v>
      </c>
      <c r="E83" s="12"/>
      <c r="F83" s="12" t="s">
        <v>293</v>
      </c>
      <c r="G83" s="12" t="s">
        <v>19</v>
      </c>
      <c r="H83" s="12" t="s">
        <v>290</v>
      </c>
      <c r="I83" s="10" t="s">
        <v>21</v>
      </c>
      <c r="J83" s="12" t="s">
        <v>22</v>
      </c>
      <c r="K83" s="15" t="str">
        <f>_xlfn.DISPIMG("ID_B79C25E3A61648BFB3615C5BF7F8FDBF",1)</f>
        <v>=DISPIMG("ID_B79C25E3A61648BFB3615C5BF7F8FDBF",1)</v>
      </c>
      <c r="L83" s="11" t="str">
        <f>_xlfn.DISPIMG("ID_5E35D7CE065C4797BCF5966CA5A1A04E",1)</f>
        <v>=DISPIMG("ID_5E35D7CE065C4797BCF5966CA5A1A04E",1)</v>
      </c>
    </row>
    <row r="84" ht="409.5" spans="1:12">
      <c r="A84" s="10">
        <v>80</v>
      </c>
      <c r="B84" s="11" t="s">
        <v>15</v>
      </c>
      <c r="C84" s="12" t="s">
        <v>294</v>
      </c>
      <c r="D84" s="12" t="s">
        <v>295</v>
      </c>
      <c r="E84" s="12"/>
      <c r="F84" s="12" t="s">
        <v>296</v>
      </c>
      <c r="G84" s="12" t="s">
        <v>19</v>
      </c>
      <c r="H84" s="12" t="s">
        <v>212</v>
      </c>
      <c r="I84" s="10" t="s">
        <v>21</v>
      </c>
      <c r="J84" s="12" t="s">
        <v>22</v>
      </c>
      <c r="K84" s="15" t="str">
        <f>_xlfn.DISPIMG("ID_1C53677796924B82B9480BB8037FC867",1)</f>
        <v>=DISPIMG("ID_1C53677796924B82B9480BB8037FC867",1)</v>
      </c>
      <c r="L84" s="11" t="str">
        <f>_xlfn.DISPIMG("ID_BDB02DCABA17456C8E28674395A681D3",1)</f>
        <v>=DISPIMG("ID_BDB02DCABA17456C8E28674395A681D3",1)</v>
      </c>
    </row>
    <row r="85" ht="409.5" spans="1:12">
      <c r="A85" s="10">
        <v>81</v>
      </c>
      <c r="B85" s="11" t="s">
        <v>15</v>
      </c>
      <c r="C85" s="12" t="s">
        <v>297</v>
      </c>
      <c r="D85" s="12" t="s">
        <v>298</v>
      </c>
      <c r="E85" s="12"/>
      <c r="F85" s="12" t="s">
        <v>299</v>
      </c>
      <c r="G85" s="12" t="s">
        <v>19</v>
      </c>
      <c r="H85" s="12" t="s">
        <v>212</v>
      </c>
      <c r="I85" s="10" t="s">
        <v>21</v>
      </c>
      <c r="J85" s="12" t="s">
        <v>22</v>
      </c>
      <c r="K85" s="15" t="str">
        <f>_xlfn.DISPIMG("ID_038804AF75EF45E7A6FE179853B2509D",1)</f>
        <v>=DISPIMG("ID_038804AF75EF45E7A6FE179853B2509D",1)</v>
      </c>
      <c r="L85" s="11" t="str">
        <f>_xlfn.DISPIMG("ID_C0B5032CB04640BE869AE0D3813D7B68",1)</f>
        <v>=DISPIMG("ID_C0B5032CB04640BE869AE0D3813D7B68",1)</v>
      </c>
    </row>
    <row r="86" ht="409.5" spans="1:12">
      <c r="A86" s="10">
        <v>82</v>
      </c>
      <c r="B86" s="11" t="s">
        <v>15</v>
      </c>
      <c r="C86" s="12" t="s">
        <v>300</v>
      </c>
      <c r="D86" s="12" t="s">
        <v>301</v>
      </c>
      <c r="E86" s="12"/>
      <c r="F86" s="12" t="s">
        <v>302</v>
      </c>
      <c r="G86" s="12" t="s">
        <v>19</v>
      </c>
      <c r="H86" s="12" t="s">
        <v>303</v>
      </c>
      <c r="I86" s="10" t="s">
        <v>21</v>
      </c>
      <c r="J86" s="12" t="s">
        <v>22</v>
      </c>
      <c r="K86" s="15" t="str">
        <f>_xlfn.DISPIMG("ID_54AEC3E8C2DC4AA9A1174F991C3D9245",1)</f>
        <v>=DISPIMG("ID_54AEC3E8C2DC4AA9A1174F991C3D9245",1)</v>
      </c>
      <c r="L86" s="11" t="str">
        <f>_xlfn.DISPIMG("ID_DED5AE271410472099F9156A32B173B2",1)</f>
        <v>=DISPIMG("ID_DED5AE271410472099F9156A32B173B2",1)</v>
      </c>
    </row>
    <row r="87" ht="409.5" spans="1:12">
      <c r="A87" s="10">
        <v>83</v>
      </c>
      <c r="B87" s="11" t="s">
        <v>15</v>
      </c>
      <c r="C87" s="12" t="s">
        <v>304</v>
      </c>
      <c r="D87" s="12" t="s">
        <v>305</v>
      </c>
      <c r="E87" s="12"/>
      <c r="F87" s="12" t="s">
        <v>306</v>
      </c>
      <c r="G87" s="12" t="s">
        <v>19</v>
      </c>
      <c r="H87" s="12" t="s">
        <v>212</v>
      </c>
      <c r="I87" s="10" t="s">
        <v>21</v>
      </c>
      <c r="J87" s="12" t="s">
        <v>22</v>
      </c>
      <c r="K87" s="15" t="str">
        <f>_xlfn.DISPIMG("ID_673B637ADA0E4891AB131F26C8F6E5E8",1)</f>
        <v>=DISPIMG("ID_673B637ADA0E4891AB131F26C8F6E5E8",1)</v>
      </c>
      <c r="L87" s="11" t="str">
        <f>_xlfn.DISPIMG("ID_E1EF12C8D5B64442B1B6B837835348D9",1)</f>
        <v>=DISPIMG("ID_E1EF12C8D5B64442B1B6B837835348D9",1)</v>
      </c>
    </row>
    <row r="88" ht="409.5" spans="1:12">
      <c r="A88" s="10">
        <v>84</v>
      </c>
      <c r="B88" s="11" t="s">
        <v>15</v>
      </c>
      <c r="C88" s="12" t="s">
        <v>307</v>
      </c>
      <c r="D88" s="12" t="s">
        <v>308</v>
      </c>
      <c r="E88" s="12"/>
      <c r="F88" s="12" t="s">
        <v>309</v>
      </c>
      <c r="G88" s="12" t="s">
        <v>19</v>
      </c>
      <c r="H88" s="12" t="s">
        <v>212</v>
      </c>
      <c r="I88" s="10" t="s">
        <v>21</v>
      </c>
      <c r="J88" s="12" t="s">
        <v>22</v>
      </c>
      <c r="K88" s="15" t="str">
        <f>_xlfn.DISPIMG("ID_C88DA61F61594B55B69278C1531593E5",1)</f>
        <v>=DISPIMG("ID_C88DA61F61594B55B69278C1531593E5",1)</v>
      </c>
      <c r="L88" s="11" t="str">
        <f>_xlfn.DISPIMG("ID_CA55CD3543B64CA9BE42C203DEDE1F9A",1)</f>
        <v>=DISPIMG("ID_CA55CD3543B64CA9BE42C203DEDE1F9A",1)</v>
      </c>
    </row>
    <row r="89" ht="409.5" spans="1:12">
      <c r="A89" s="10">
        <v>85</v>
      </c>
      <c r="B89" s="11" t="s">
        <v>15</v>
      </c>
      <c r="C89" s="12" t="s">
        <v>310</v>
      </c>
      <c r="D89" s="12" t="s">
        <v>311</v>
      </c>
      <c r="E89" s="12"/>
      <c r="F89" s="12" t="s">
        <v>312</v>
      </c>
      <c r="G89" s="12" t="s">
        <v>19</v>
      </c>
      <c r="H89" s="12" t="s">
        <v>212</v>
      </c>
      <c r="I89" s="10" t="s">
        <v>21</v>
      </c>
      <c r="J89" s="12" t="s">
        <v>22</v>
      </c>
      <c r="K89" s="15" t="str">
        <f>_xlfn.DISPIMG("ID_38625DC51C9E43C9ABB1440F5FD1AC58",1)</f>
        <v>=DISPIMG("ID_38625DC51C9E43C9ABB1440F5FD1AC58",1)</v>
      </c>
      <c r="L89" s="11" t="str">
        <f>_xlfn.DISPIMG("ID_519166746E8B4BE8ACD1385C59686D04",1)</f>
        <v>=DISPIMG("ID_519166746E8B4BE8ACD1385C59686D04",1)</v>
      </c>
    </row>
    <row r="90" ht="409.5" spans="1:12">
      <c r="A90" s="10">
        <v>86</v>
      </c>
      <c r="B90" s="11" t="s">
        <v>15</v>
      </c>
      <c r="C90" s="12" t="s">
        <v>313</v>
      </c>
      <c r="D90" s="12" t="s">
        <v>314</v>
      </c>
      <c r="E90" s="12"/>
      <c r="F90" s="12" t="s">
        <v>315</v>
      </c>
      <c r="G90" s="12" t="s">
        <v>19</v>
      </c>
      <c r="H90" s="12" t="s">
        <v>212</v>
      </c>
      <c r="I90" s="10" t="s">
        <v>21</v>
      </c>
      <c r="J90" s="12" t="s">
        <v>22</v>
      </c>
      <c r="K90" s="15" t="str">
        <f>_xlfn.DISPIMG("ID_607F876391A645648508972EF137290C",1)</f>
        <v>=DISPIMG("ID_607F876391A645648508972EF137290C",1)</v>
      </c>
      <c r="L90" s="11" t="str">
        <f>_xlfn.DISPIMG("ID_FDFA860EBDD64B428C97E99C7C88862E",1)</f>
        <v>=DISPIMG("ID_FDFA860EBDD64B428C97E99C7C88862E",1)</v>
      </c>
    </row>
    <row r="91" ht="409.5" spans="1:12">
      <c r="A91" s="10">
        <v>87</v>
      </c>
      <c r="B91" s="11" t="s">
        <v>15</v>
      </c>
      <c r="C91" s="12" t="s">
        <v>316</v>
      </c>
      <c r="D91" s="12" t="s">
        <v>317</v>
      </c>
      <c r="E91" s="12"/>
      <c r="F91" s="12" t="s">
        <v>318</v>
      </c>
      <c r="G91" s="12" t="s">
        <v>19</v>
      </c>
      <c r="H91" s="12" t="s">
        <v>319</v>
      </c>
      <c r="I91" s="10" t="s">
        <v>21</v>
      </c>
      <c r="J91" s="12" t="s">
        <v>22</v>
      </c>
      <c r="K91" s="15" t="str">
        <f>_xlfn.DISPIMG("ID_4EDF42B7D3A0453694BCA14E428CA3FF",1)</f>
        <v>=DISPIMG("ID_4EDF42B7D3A0453694BCA14E428CA3FF",1)</v>
      </c>
      <c r="L91" s="11" t="str">
        <f>_xlfn.DISPIMG("ID_3A3278B6627148D8A60924D5E905973A",1)</f>
        <v>=DISPIMG("ID_3A3278B6627148D8A60924D5E905973A",1)</v>
      </c>
    </row>
    <row r="92" ht="409.5" spans="1:12">
      <c r="A92" s="10">
        <v>88</v>
      </c>
      <c r="B92" s="11" t="s">
        <v>15</v>
      </c>
      <c r="C92" s="12" t="s">
        <v>320</v>
      </c>
      <c r="D92" s="12" t="s">
        <v>321</v>
      </c>
      <c r="E92" s="12"/>
      <c r="F92" s="12" t="s">
        <v>322</v>
      </c>
      <c r="G92" s="12" t="s">
        <v>19</v>
      </c>
      <c r="H92" s="12" t="s">
        <v>323</v>
      </c>
      <c r="I92" s="10" t="s">
        <v>21</v>
      </c>
      <c r="J92" s="12" t="s">
        <v>22</v>
      </c>
      <c r="K92" s="15" t="str">
        <f>_xlfn.DISPIMG("ID_89331088BDD145B7B972927FC81BFFAE",1)</f>
        <v>=DISPIMG("ID_89331088BDD145B7B972927FC81BFFAE",1)</v>
      </c>
      <c r="L92" s="11" t="str">
        <f>_xlfn.DISPIMG("ID_05B0D0FA065E404C83CF0E6F55471DD7",1)</f>
        <v>=DISPIMG("ID_05B0D0FA065E404C83CF0E6F55471DD7",1)</v>
      </c>
    </row>
    <row r="93" ht="409.5" spans="1:12">
      <c r="A93" s="10">
        <v>89</v>
      </c>
      <c r="B93" s="11" t="s">
        <v>15</v>
      </c>
      <c r="C93" s="12" t="s">
        <v>324</v>
      </c>
      <c r="D93" s="12" t="s">
        <v>325</v>
      </c>
      <c r="E93" s="12"/>
      <c r="F93" s="12" t="s">
        <v>326</v>
      </c>
      <c r="G93" s="12" t="s">
        <v>19</v>
      </c>
      <c r="H93" s="12" t="s">
        <v>254</v>
      </c>
      <c r="I93" s="10" t="s">
        <v>21</v>
      </c>
      <c r="J93" s="12" t="s">
        <v>22</v>
      </c>
      <c r="K93" s="15" t="str">
        <f>_xlfn.DISPIMG("ID_23388B68E79A4441A6A9CD288D7617D3",1)</f>
        <v>=DISPIMG("ID_23388B68E79A4441A6A9CD288D7617D3",1)</v>
      </c>
      <c r="L93" s="11" t="str">
        <f>_xlfn.DISPIMG("ID_823149784F4148179023B198F683D08E",1)</f>
        <v>=DISPIMG("ID_823149784F4148179023B198F683D08E",1)</v>
      </c>
    </row>
    <row r="94" ht="409.5" spans="1:12">
      <c r="A94" s="10">
        <v>90</v>
      </c>
      <c r="B94" s="11" t="s">
        <v>15</v>
      </c>
      <c r="C94" s="12" t="s">
        <v>327</v>
      </c>
      <c r="D94" s="12" t="s">
        <v>328</v>
      </c>
      <c r="E94" s="12"/>
      <c r="F94" s="12" t="s">
        <v>329</v>
      </c>
      <c r="G94" s="12" t="s">
        <v>19</v>
      </c>
      <c r="H94" s="12" t="s">
        <v>330</v>
      </c>
      <c r="I94" s="10" t="s">
        <v>21</v>
      </c>
      <c r="J94" s="12" t="s">
        <v>22</v>
      </c>
      <c r="K94" s="15" t="str">
        <f>_xlfn.DISPIMG("ID_CE28FBDE57634734AAE04FC769DE5F59",1)</f>
        <v>=DISPIMG("ID_CE28FBDE57634734AAE04FC769DE5F59",1)</v>
      </c>
      <c r="L94" s="11" t="str">
        <f>_xlfn.DISPIMG("ID_806BF056329D426DB1ACA2438C07E23A",1)</f>
        <v>=DISPIMG("ID_806BF056329D426DB1ACA2438C07E23A",1)</v>
      </c>
    </row>
    <row r="95" ht="409.5" spans="1:12">
      <c r="A95" s="10">
        <v>91</v>
      </c>
      <c r="B95" s="11" t="s">
        <v>15</v>
      </c>
      <c r="C95" s="12" t="s">
        <v>331</v>
      </c>
      <c r="D95" s="12" t="s">
        <v>332</v>
      </c>
      <c r="E95" s="12"/>
      <c r="F95" s="12" t="s">
        <v>333</v>
      </c>
      <c r="G95" s="12" t="s">
        <v>19</v>
      </c>
      <c r="H95" s="12" t="s">
        <v>334</v>
      </c>
      <c r="I95" s="10" t="s">
        <v>21</v>
      </c>
      <c r="J95" s="12" t="s">
        <v>22</v>
      </c>
      <c r="K95" s="15" t="str">
        <f>_xlfn.DISPIMG("ID_B6DECAA2282A4F7191E1A2B3991D7573",1)</f>
        <v>=DISPIMG("ID_B6DECAA2282A4F7191E1A2B3991D7573",1)</v>
      </c>
      <c r="L95" s="11" t="str">
        <f>_xlfn.DISPIMG("ID_E1FABC6AC75841819993BC6F794C350C",1)</f>
        <v>=DISPIMG("ID_E1FABC6AC75841819993BC6F794C350C",1)</v>
      </c>
    </row>
    <row r="96" ht="409.5" spans="1:12">
      <c r="A96" s="10">
        <v>92</v>
      </c>
      <c r="B96" s="11" t="s">
        <v>15</v>
      </c>
      <c r="C96" s="12" t="s">
        <v>335</v>
      </c>
      <c r="D96" s="12" t="s">
        <v>336</v>
      </c>
      <c r="E96" s="12"/>
      <c r="F96" s="12" t="s">
        <v>333</v>
      </c>
      <c r="G96" s="12" t="s">
        <v>19</v>
      </c>
      <c r="H96" s="12" t="s">
        <v>337</v>
      </c>
      <c r="I96" s="10" t="s">
        <v>21</v>
      </c>
      <c r="J96" s="12" t="s">
        <v>22</v>
      </c>
      <c r="K96" s="15" t="str">
        <f>_xlfn.DISPIMG("ID_6C3FA8950CD04344B8EA262275EBD8F9",1)</f>
        <v>=DISPIMG("ID_6C3FA8950CD04344B8EA262275EBD8F9",1)</v>
      </c>
      <c r="L96" s="11" t="str">
        <f>_xlfn.DISPIMG("ID_E37033B0C1EC4387B88E87E51931AF34",1)</f>
        <v>=DISPIMG("ID_E37033B0C1EC4387B88E87E51931AF34",1)</v>
      </c>
    </row>
    <row r="97" ht="409.5" spans="1:12">
      <c r="A97" s="10">
        <v>93</v>
      </c>
      <c r="B97" s="11" t="s">
        <v>15</v>
      </c>
      <c r="C97" s="12" t="s">
        <v>338</v>
      </c>
      <c r="D97" s="12" t="s">
        <v>339</v>
      </c>
      <c r="E97" s="12"/>
      <c r="F97" s="12" t="s">
        <v>340</v>
      </c>
      <c r="G97" s="12" t="s">
        <v>19</v>
      </c>
      <c r="H97" s="12" t="s">
        <v>337</v>
      </c>
      <c r="I97" s="10" t="s">
        <v>21</v>
      </c>
      <c r="J97" s="12" t="s">
        <v>22</v>
      </c>
      <c r="K97" s="15" t="str">
        <f>_xlfn.DISPIMG("ID_F4656E3A7293425DA0B99E1CE9ECE4D9",1)</f>
        <v>=DISPIMG("ID_F4656E3A7293425DA0B99E1CE9ECE4D9",1)</v>
      </c>
      <c r="L97" s="11" t="str">
        <f>_xlfn.DISPIMG("ID_8F2EC022BD174F6D9BA7A31EA30033C4",1)</f>
        <v>=DISPIMG("ID_8F2EC022BD174F6D9BA7A31EA30033C4",1)</v>
      </c>
    </row>
    <row r="98" ht="409.5" spans="1:12">
      <c r="A98" s="10">
        <v>94</v>
      </c>
      <c r="B98" s="11" t="s">
        <v>15</v>
      </c>
      <c r="C98" s="12" t="s">
        <v>341</v>
      </c>
      <c r="D98" s="12" t="s">
        <v>342</v>
      </c>
      <c r="E98" s="12"/>
      <c r="F98" s="12" t="s">
        <v>343</v>
      </c>
      <c r="G98" s="12" t="s">
        <v>19</v>
      </c>
      <c r="H98" s="12" t="s">
        <v>334</v>
      </c>
      <c r="I98" s="10" t="s">
        <v>21</v>
      </c>
      <c r="J98" s="12" t="s">
        <v>22</v>
      </c>
      <c r="K98" s="15" t="str">
        <f>_xlfn.DISPIMG("ID_E5984861787341459EEAECF53ABABB17",1)</f>
        <v>=DISPIMG("ID_E5984861787341459EEAECF53ABABB17",1)</v>
      </c>
      <c r="L98" s="11" t="str">
        <f>_xlfn.DISPIMG("ID_D73CF2B9995F4B659CF95FFBCA682E25",1)</f>
        <v>=DISPIMG("ID_D73CF2B9995F4B659CF95FFBCA682E25",1)</v>
      </c>
    </row>
    <row r="99" ht="409.5" spans="1:12">
      <c r="A99" s="10">
        <v>95</v>
      </c>
      <c r="B99" s="11" t="s">
        <v>15</v>
      </c>
      <c r="C99" s="12" t="s">
        <v>344</v>
      </c>
      <c r="D99" s="12" t="s">
        <v>345</v>
      </c>
      <c r="E99" s="12"/>
      <c r="F99" s="12" t="s">
        <v>346</v>
      </c>
      <c r="G99" s="12" t="s">
        <v>19</v>
      </c>
      <c r="H99" s="12" t="s">
        <v>337</v>
      </c>
      <c r="I99" s="10" t="s">
        <v>21</v>
      </c>
      <c r="J99" s="12" t="s">
        <v>22</v>
      </c>
      <c r="K99" s="15" t="str">
        <f>_xlfn.DISPIMG("ID_9A18F383F22844088395142F17B06A18",1)</f>
        <v>=DISPIMG("ID_9A18F383F22844088395142F17B06A18",1)</v>
      </c>
      <c r="L99" s="11" t="str">
        <f>_xlfn.DISPIMG("ID_4EC73B60E4FA49D0B39C7D4D24A5127F",1)</f>
        <v>=DISPIMG("ID_4EC73B60E4FA49D0B39C7D4D24A5127F",1)</v>
      </c>
    </row>
    <row r="100" ht="409.5" spans="1:12">
      <c r="A100" s="10">
        <v>96</v>
      </c>
      <c r="B100" s="11" t="s">
        <v>15</v>
      </c>
      <c r="C100" s="12" t="s">
        <v>347</v>
      </c>
      <c r="D100" s="12" t="s">
        <v>348</v>
      </c>
      <c r="E100" s="12"/>
      <c r="F100" s="12" t="s">
        <v>349</v>
      </c>
      <c r="G100" s="12" t="s">
        <v>19</v>
      </c>
      <c r="H100" s="12" t="s">
        <v>254</v>
      </c>
      <c r="I100" s="10" t="s">
        <v>21</v>
      </c>
      <c r="J100" s="12" t="s">
        <v>22</v>
      </c>
      <c r="K100" s="15" t="str">
        <f>_xlfn.DISPIMG("ID_FED8306F693F44578FAEADD2E44AFEBD",1)</f>
        <v>=DISPIMG("ID_FED8306F693F44578FAEADD2E44AFEBD",1)</v>
      </c>
      <c r="L100" s="11" t="str">
        <f>_xlfn.DISPIMG("ID_E0DDB9A8FAFF4AB59FFD20B2D65707AE",1)</f>
        <v>=DISPIMG("ID_E0DDB9A8FAFF4AB59FFD20B2D65707AE",1)</v>
      </c>
    </row>
    <row r="101" ht="409.5" spans="1:12">
      <c r="A101" s="10">
        <v>97</v>
      </c>
      <c r="B101" s="11" t="s">
        <v>15</v>
      </c>
      <c r="C101" s="12" t="s">
        <v>350</v>
      </c>
      <c r="D101" s="12" t="s">
        <v>351</v>
      </c>
      <c r="E101" s="12"/>
      <c r="F101" s="12" t="s">
        <v>352</v>
      </c>
      <c r="G101" s="12" t="s">
        <v>19</v>
      </c>
      <c r="H101" s="12" t="s">
        <v>353</v>
      </c>
      <c r="I101" s="10" t="s">
        <v>21</v>
      </c>
      <c r="J101" s="12" t="s">
        <v>22</v>
      </c>
      <c r="K101" s="15" t="str">
        <f>_xlfn.DISPIMG("ID_D9DB1179077747518C9C7E5EFE35FD3A",1)</f>
        <v>=DISPIMG("ID_D9DB1179077747518C9C7E5EFE35FD3A",1)</v>
      </c>
      <c r="L101" s="11" t="str">
        <f>_xlfn.DISPIMG("ID_7156C2962C574D21ACAC211A9C45798F",1)</f>
        <v>=DISPIMG("ID_7156C2962C574D21ACAC211A9C45798F",1)</v>
      </c>
    </row>
    <row r="102" ht="409.5" spans="1:12">
      <c r="A102" s="10">
        <v>98</v>
      </c>
      <c r="B102" s="11" t="s">
        <v>15</v>
      </c>
      <c r="C102" s="12" t="s">
        <v>354</v>
      </c>
      <c r="D102" s="12" t="s">
        <v>355</v>
      </c>
      <c r="E102" s="12"/>
      <c r="F102" s="12" t="s">
        <v>356</v>
      </c>
      <c r="G102" s="12" t="s">
        <v>19</v>
      </c>
      <c r="H102" s="12" t="s">
        <v>353</v>
      </c>
      <c r="I102" s="10" t="s">
        <v>21</v>
      </c>
      <c r="J102" s="12" t="s">
        <v>22</v>
      </c>
      <c r="K102" s="15" t="str">
        <f>_xlfn.DISPIMG("ID_16DA92631ED14DD0B7CB5DF47E9F8FBF",1)</f>
        <v>=DISPIMG("ID_16DA92631ED14DD0B7CB5DF47E9F8FBF",1)</v>
      </c>
      <c r="L102" s="11" t="str">
        <f>_xlfn.DISPIMG("ID_8F834E4DCFA24432A56CB6A2ED6682F5",1)</f>
        <v>=DISPIMG("ID_8F834E4DCFA24432A56CB6A2ED6682F5",1)</v>
      </c>
    </row>
    <row r="103" ht="409.5" spans="1:12">
      <c r="A103" s="10">
        <v>99</v>
      </c>
      <c r="B103" s="11" t="s">
        <v>15</v>
      </c>
      <c r="C103" s="12" t="s">
        <v>357</v>
      </c>
      <c r="D103" s="12" t="s">
        <v>358</v>
      </c>
      <c r="E103" s="12"/>
      <c r="F103" s="12" t="s">
        <v>359</v>
      </c>
      <c r="G103" s="12" t="s">
        <v>19</v>
      </c>
      <c r="H103" s="12" t="s">
        <v>353</v>
      </c>
      <c r="I103" s="10" t="s">
        <v>21</v>
      </c>
      <c r="J103" s="12" t="s">
        <v>22</v>
      </c>
      <c r="K103" s="15" t="str">
        <f>_xlfn.DISPIMG("ID_7E54A8B003094EA0BFB69FD0FD5B08D1",1)</f>
        <v>=DISPIMG("ID_7E54A8B003094EA0BFB69FD0FD5B08D1",1)</v>
      </c>
      <c r="L103" s="11" t="str">
        <f>_xlfn.DISPIMG("ID_C8095E64017A48118F1616961AB41039",1)</f>
        <v>=DISPIMG("ID_C8095E64017A48118F1616961AB41039",1)</v>
      </c>
    </row>
    <row r="104" ht="409.5" spans="1:12">
      <c r="A104" s="10">
        <v>100</v>
      </c>
      <c r="B104" s="11" t="s">
        <v>15</v>
      </c>
      <c r="C104" s="12" t="s">
        <v>360</v>
      </c>
      <c r="D104" s="12" t="s">
        <v>361</v>
      </c>
      <c r="E104" s="12"/>
      <c r="F104" s="12" t="s">
        <v>362</v>
      </c>
      <c r="G104" s="12" t="s">
        <v>19</v>
      </c>
      <c r="H104" s="12" t="s">
        <v>212</v>
      </c>
      <c r="I104" s="10" t="s">
        <v>21</v>
      </c>
      <c r="J104" s="12" t="s">
        <v>22</v>
      </c>
      <c r="K104" s="15" t="str">
        <f>_xlfn.DISPIMG("ID_914A15BFE4AA4977B1EB5044A2B561E3",1)</f>
        <v>=DISPIMG("ID_914A15BFE4AA4977B1EB5044A2B561E3",1)</v>
      </c>
      <c r="L104" s="11" t="str">
        <f>_xlfn.DISPIMG("ID_5A1ECF50351F4D5D8C7F555A55C7A8C6",1)</f>
        <v>=DISPIMG("ID_5A1ECF50351F4D5D8C7F555A55C7A8C6",1)</v>
      </c>
    </row>
    <row r="105" ht="409.5" spans="1:12">
      <c r="A105" s="10">
        <v>101</v>
      </c>
      <c r="B105" s="11" t="s">
        <v>15</v>
      </c>
      <c r="C105" s="12" t="s">
        <v>363</v>
      </c>
      <c r="D105" s="12" t="s">
        <v>364</v>
      </c>
      <c r="E105" s="12"/>
      <c r="F105" s="12" t="s">
        <v>365</v>
      </c>
      <c r="G105" s="12" t="s">
        <v>19</v>
      </c>
      <c r="H105" s="12" t="s">
        <v>366</v>
      </c>
      <c r="I105" s="10" t="s">
        <v>21</v>
      </c>
      <c r="J105" s="12" t="s">
        <v>22</v>
      </c>
      <c r="K105" s="15" t="str">
        <f>_xlfn.DISPIMG("ID_A7D923877C9641EB98B9110303E5FD56",1)</f>
        <v>=DISPIMG("ID_A7D923877C9641EB98B9110303E5FD56",1)</v>
      </c>
      <c r="L105" s="11" t="str">
        <f>_xlfn.DISPIMG("ID_F824B81A5A6644BEB3CDDC504805FF7C",1)</f>
        <v>=DISPIMG("ID_F824B81A5A6644BEB3CDDC504805FF7C",1)</v>
      </c>
    </row>
    <row r="106" ht="409.5" spans="1:12">
      <c r="A106" s="10">
        <v>102</v>
      </c>
      <c r="B106" s="11" t="s">
        <v>15</v>
      </c>
      <c r="C106" s="12" t="s">
        <v>367</v>
      </c>
      <c r="D106" s="12" t="s">
        <v>368</v>
      </c>
      <c r="E106" s="12"/>
      <c r="F106" s="12" t="s">
        <v>369</v>
      </c>
      <c r="G106" s="12" t="s">
        <v>19</v>
      </c>
      <c r="H106" s="12" t="s">
        <v>212</v>
      </c>
      <c r="I106" s="10" t="s">
        <v>21</v>
      </c>
      <c r="J106" s="12" t="s">
        <v>22</v>
      </c>
      <c r="K106" s="15" t="str">
        <f>_xlfn.DISPIMG("ID_8BDE6A28EA3D4E359306E7F06EE0445E",1)</f>
        <v>=DISPIMG("ID_8BDE6A28EA3D4E359306E7F06EE0445E",1)</v>
      </c>
      <c r="L106" s="11" t="str">
        <f>_xlfn.DISPIMG("ID_89021EF7E298410E927E794781D3AFBC",1)</f>
        <v>=DISPIMG("ID_89021EF7E298410E927E794781D3AFBC",1)</v>
      </c>
    </row>
    <row r="107" ht="409.5" spans="1:12">
      <c r="A107" s="10">
        <v>103</v>
      </c>
      <c r="B107" s="11" t="s">
        <v>15</v>
      </c>
      <c r="C107" s="12" t="s">
        <v>370</v>
      </c>
      <c r="D107" s="12" t="s">
        <v>371</v>
      </c>
      <c r="E107" s="12"/>
      <c r="F107" s="12" t="s">
        <v>372</v>
      </c>
      <c r="G107" s="12" t="s">
        <v>19</v>
      </c>
      <c r="H107" s="12" t="s">
        <v>212</v>
      </c>
      <c r="I107" s="10" t="s">
        <v>21</v>
      </c>
      <c r="J107" s="12" t="s">
        <v>22</v>
      </c>
      <c r="K107" s="15" t="str">
        <f>_xlfn.DISPIMG("ID_6501DF0E0F5F4931879594D49E56AFDF",1)</f>
        <v>=DISPIMG("ID_6501DF0E0F5F4931879594D49E56AFDF",1)</v>
      </c>
      <c r="L107" s="11" t="str">
        <f>_xlfn.DISPIMG("ID_F1C783DF4D074DA5A6B7B8485FD89BAC",1)</f>
        <v>=DISPIMG("ID_F1C783DF4D074DA5A6B7B8485FD89BAC",1)</v>
      </c>
    </row>
    <row r="108" ht="409.5" spans="1:12">
      <c r="A108" s="10">
        <v>104</v>
      </c>
      <c r="B108" s="11" t="s">
        <v>15</v>
      </c>
      <c r="C108" s="12" t="s">
        <v>373</v>
      </c>
      <c r="D108" s="12" t="s">
        <v>374</v>
      </c>
      <c r="E108" s="12"/>
      <c r="F108" s="12" t="s">
        <v>375</v>
      </c>
      <c r="G108" s="12" t="s">
        <v>19</v>
      </c>
      <c r="H108" s="12" t="s">
        <v>212</v>
      </c>
      <c r="I108" s="10" t="s">
        <v>21</v>
      </c>
      <c r="J108" s="12" t="s">
        <v>22</v>
      </c>
      <c r="K108" s="15" t="str">
        <f>_xlfn.DISPIMG("ID_3CB644C181CC48C888A75C568DE5A449",1)</f>
        <v>=DISPIMG("ID_3CB644C181CC48C888A75C568DE5A449",1)</v>
      </c>
      <c r="L108" s="11" t="str">
        <f>_xlfn.DISPIMG("ID_DB441F3D2FA74A9F87BED7A10A142335",1)</f>
        <v>=DISPIMG("ID_DB441F3D2FA74A9F87BED7A10A142335",1)</v>
      </c>
    </row>
    <row r="109" ht="409.5" spans="1:12">
      <c r="A109" s="10">
        <v>105</v>
      </c>
      <c r="B109" s="11" t="s">
        <v>15</v>
      </c>
      <c r="C109" s="12" t="s">
        <v>376</v>
      </c>
      <c r="D109" s="12" t="s">
        <v>377</v>
      </c>
      <c r="E109" s="12"/>
      <c r="F109" s="12" t="s">
        <v>378</v>
      </c>
      <c r="G109" s="12" t="s">
        <v>19</v>
      </c>
      <c r="H109" s="12" t="s">
        <v>212</v>
      </c>
      <c r="I109" s="10" t="s">
        <v>21</v>
      </c>
      <c r="J109" s="12" t="s">
        <v>22</v>
      </c>
      <c r="K109" s="15" t="str">
        <f>_xlfn.DISPIMG("ID_3A30432C13A140C4B9EBED2F3BB74247",1)</f>
        <v>=DISPIMG("ID_3A30432C13A140C4B9EBED2F3BB74247",1)</v>
      </c>
      <c r="L109" s="11" t="str">
        <f>_xlfn.DISPIMG("ID_E559B42C27554A6A860288EE11302222",1)</f>
        <v>=DISPIMG("ID_E559B42C27554A6A860288EE11302222",1)</v>
      </c>
    </row>
    <row r="110" ht="409.5" spans="1:12">
      <c r="A110" s="10">
        <v>106</v>
      </c>
      <c r="B110" s="11" t="s">
        <v>15</v>
      </c>
      <c r="C110" s="12" t="s">
        <v>379</v>
      </c>
      <c r="D110" s="12" t="s">
        <v>380</v>
      </c>
      <c r="E110" s="12"/>
      <c r="F110" s="12" t="s">
        <v>381</v>
      </c>
      <c r="G110" s="12" t="s">
        <v>19</v>
      </c>
      <c r="H110" s="12" t="s">
        <v>212</v>
      </c>
      <c r="I110" s="10" t="s">
        <v>21</v>
      </c>
      <c r="J110" s="12" t="s">
        <v>22</v>
      </c>
      <c r="K110" s="15" t="str">
        <f>_xlfn.DISPIMG("ID_C8D508E55A814C599C0F5CB4EAF8CD19",1)</f>
        <v>=DISPIMG("ID_C8D508E55A814C599C0F5CB4EAF8CD19",1)</v>
      </c>
      <c r="L110" s="11" t="str">
        <f>_xlfn.DISPIMG("ID_CF92631DE3144572A023F3169D99B48C",1)</f>
        <v>=DISPIMG("ID_CF92631DE3144572A023F3169D99B48C",1)</v>
      </c>
    </row>
    <row r="111" ht="409.5" spans="1:12">
      <c r="A111" s="10">
        <v>107</v>
      </c>
      <c r="B111" s="11" t="s">
        <v>15</v>
      </c>
      <c r="C111" s="12" t="s">
        <v>382</v>
      </c>
      <c r="D111" s="12" t="s">
        <v>383</v>
      </c>
      <c r="E111" s="12"/>
      <c r="F111" s="12" t="s">
        <v>384</v>
      </c>
      <c r="G111" s="12" t="s">
        <v>19</v>
      </c>
      <c r="H111" s="12" t="s">
        <v>212</v>
      </c>
      <c r="I111" s="10" t="s">
        <v>21</v>
      </c>
      <c r="J111" s="12" t="s">
        <v>22</v>
      </c>
      <c r="K111" s="15" t="str">
        <f>_xlfn.DISPIMG("ID_1F74F386E94D497FB232AD828FBE7677",1)</f>
        <v>=DISPIMG("ID_1F74F386E94D497FB232AD828FBE7677",1)</v>
      </c>
      <c r="L111" s="11" t="str">
        <f>_xlfn.DISPIMG("ID_777441076F6948D9A10AC5DACE6D04A4",1)</f>
        <v>=DISPIMG("ID_777441076F6948D9A10AC5DACE6D04A4",1)</v>
      </c>
    </row>
    <row r="112" ht="409.5" spans="1:12">
      <c r="A112" s="10">
        <v>108</v>
      </c>
      <c r="B112" s="11" t="s">
        <v>15</v>
      </c>
      <c r="C112" s="12" t="s">
        <v>385</v>
      </c>
      <c r="D112" s="12" t="s">
        <v>386</v>
      </c>
      <c r="E112" s="12"/>
      <c r="F112" s="12" t="s">
        <v>387</v>
      </c>
      <c r="G112" s="12" t="s">
        <v>19</v>
      </c>
      <c r="H112" s="12" t="s">
        <v>212</v>
      </c>
      <c r="I112" s="10" t="s">
        <v>21</v>
      </c>
      <c r="J112" s="12" t="s">
        <v>22</v>
      </c>
      <c r="K112" s="15" t="str">
        <f>_xlfn.DISPIMG("ID_10CAD87B53824165B1EF284879818C78",1)</f>
        <v>=DISPIMG("ID_10CAD87B53824165B1EF284879818C78",1)</v>
      </c>
      <c r="L112" s="11" t="str">
        <f>_xlfn.DISPIMG("ID_DC6CD9EED05C4A31B35938DB8CEBA6E7",1)</f>
        <v>=DISPIMG("ID_DC6CD9EED05C4A31B35938DB8CEBA6E7",1)</v>
      </c>
    </row>
    <row r="113" ht="409.5" spans="1:12">
      <c r="A113" s="10">
        <v>109</v>
      </c>
      <c r="B113" s="11" t="s">
        <v>15</v>
      </c>
      <c r="C113" s="12" t="s">
        <v>388</v>
      </c>
      <c r="D113" s="12" t="s">
        <v>389</v>
      </c>
      <c r="E113" s="12"/>
      <c r="F113" s="12" t="s">
        <v>390</v>
      </c>
      <c r="G113" s="12" t="s">
        <v>19</v>
      </c>
      <c r="H113" s="12" t="s">
        <v>212</v>
      </c>
      <c r="I113" s="10" t="s">
        <v>21</v>
      </c>
      <c r="J113" s="12" t="s">
        <v>22</v>
      </c>
      <c r="K113" s="15" t="str">
        <f>_xlfn.DISPIMG("ID_4ADCBD48BC9644D7BA75B4753B86A9B1",1)</f>
        <v>=DISPIMG("ID_4ADCBD48BC9644D7BA75B4753B86A9B1",1)</v>
      </c>
      <c r="L113" s="11" t="str">
        <f>_xlfn.DISPIMG("ID_C7084D50472F48E0A84580E1DAE3CA79",1)</f>
        <v>=DISPIMG("ID_C7084D50472F48E0A84580E1DAE3CA79",1)</v>
      </c>
    </row>
    <row r="114" ht="409.5" spans="1:12">
      <c r="A114" s="10">
        <v>110</v>
      </c>
      <c r="B114" s="11" t="s">
        <v>15</v>
      </c>
      <c r="C114" s="12" t="s">
        <v>391</v>
      </c>
      <c r="D114" s="12" t="s">
        <v>392</v>
      </c>
      <c r="E114" s="12"/>
      <c r="F114" s="12" t="s">
        <v>393</v>
      </c>
      <c r="G114" s="12" t="s">
        <v>19</v>
      </c>
      <c r="H114" s="12" t="s">
        <v>212</v>
      </c>
      <c r="I114" s="10" t="s">
        <v>21</v>
      </c>
      <c r="J114" s="12" t="s">
        <v>22</v>
      </c>
      <c r="K114" s="15" t="str">
        <f>_xlfn.DISPIMG("ID_6FFC9CD180304C5F83F56D4069533CAF",1)</f>
        <v>=DISPIMG("ID_6FFC9CD180304C5F83F56D4069533CAF",1)</v>
      </c>
      <c r="L114" s="11" t="str">
        <f>_xlfn.DISPIMG("ID_019DDA7995124226BBF14D781883E6E3",1)</f>
        <v>=DISPIMG("ID_019DDA7995124226BBF14D781883E6E3",1)</v>
      </c>
    </row>
    <row r="115" ht="409.5" spans="1:12">
      <c r="A115" s="10">
        <v>111</v>
      </c>
      <c r="B115" s="11" t="s">
        <v>15</v>
      </c>
      <c r="C115" s="12" t="s">
        <v>394</v>
      </c>
      <c r="D115" s="12" t="s">
        <v>395</v>
      </c>
      <c r="E115" s="12"/>
      <c r="F115" s="12" t="s">
        <v>396</v>
      </c>
      <c r="G115" s="12" t="s">
        <v>19</v>
      </c>
      <c r="H115" s="12" t="s">
        <v>212</v>
      </c>
      <c r="I115" s="10" t="s">
        <v>21</v>
      </c>
      <c r="J115" s="12" t="s">
        <v>22</v>
      </c>
      <c r="K115" s="15" t="str">
        <f>_xlfn.DISPIMG("ID_E3334BB0AFB749B58D7E7AD028ACE948",1)</f>
        <v>=DISPIMG("ID_E3334BB0AFB749B58D7E7AD028ACE948",1)</v>
      </c>
      <c r="L115" s="11" t="str">
        <f>_xlfn.DISPIMG("ID_F85763627E2E4310AD036902747D9A28",1)</f>
        <v>=DISPIMG("ID_F85763627E2E4310AD036902747D9A28",1)</v>
      </c>
    </row>
    <row r="116" ht="409.5" spans="1:12">
      <c r="A116" s="10">
        <v>112</v>
      </c>
      <c r="B116" s="11" t="s">
        <v>15</v>
      </c>
      <c r="C116" s="12" t="s">
        <v>397</v>
      </c>
      <c r="D116" s="12" t="s">
        <v>398</v>
      </c>
      <c r="E116" s="12"/>
      <c r="F116" s="12" t="s">
        <v>399</v>
      </c>
      <c r="G116" s="12" t="s">
        <v>19</v>
      </c>
      <c r="H116" s="12" t="s">
        <v>212</v>
      </c>
      <c r="I116" s="10" t="s">
        <v>21</v>
      </c>
      <c r="J116" s="12" t="s">
        <v>22</v>
      </c>
      <c r="K116" s="15" t="str">
        <f>_xlfn.DISPIMG("ID_EB4D4A4BC83F49BAA6523BB211879299",1)</f>
        <v>=DISPIMG("ID_EB4D4A4BC83F49BAA6523BB211879299",1)</v>
      </c>
      <c r="L116" s="11" t="str">
        <f>_xlfn.DISPIMG("ID_5A0B62946F87483B844580183F8A66D9",1)</f>
        <v>=DISPIMG("ID_5A0B62946F87483B844580183F8A66D9",1)</v>
      </c>
    </row>
    <row r="117" ht="409.5" spans="1:12">
      <c r="A117" s="10">
        <v>113</v>
      </c>
      <c r="B117" s="11" t="s">
        <v>15</v>
      </c>
      <c r="C117" s="12" t="s">
        <v>400</v>
      </c>
      <c r="D117" s="12" t="s">
        <v>401</v>
      </c>
      <c r="E117" s="12"/>
      <c r="F117" s="12" t="s">
        <v>402</v>
      </c>
      <c r="G117" s="12" t="s">
        <v>19</v>
      </c>
      <c r="H117" s="12" t="s">
        <v>212</v>
      </c>
      <c r="I117" s="10" t="s">
        <v>21</v>
      </c>
      <c r="J117" s="12" t="s">
        <v>22</v>
      </c>
      <c r="K117" s="15" t="str">
        <f>_xlfn.DISPIMG("ID_0BFDFD1164C84315AEE05F6CFE2499F1",1)</f>
        <v>=DISPIMG("ID_0BFDFD1164C84315AEE05F6CFE2499F1",1)</v>
      </c>
      <c r="L117" s="11" t="str">
        <f>_xlfn.DISPIMG("ID_FBF49088080C4EE8ABAA474276EC849F",1)</f>
        <v>=DISPIMG("ID_FBF49088080C4EE8ABAA474276EC849F",1)</v>
      </c>
    </row>
    <row r="118" ht="409.5" spans="1:12">
      <c r="A118" s="10">
        <v>114</v>
      </c>
      <c r="B118" s="11" t="s">
        <v>15</v>
      </c>
      <c r="C118" s="12" t="s">
        <v>403</v>
      </c>
      <c r="D118" s="12" t="s">
        <v>404</v>
      </c>
      <c r="E118" s="12"/>
      <c r="F118" s="12" t="s">
        <v>405</v>
      </c>
      <c r="G118" s="12" t="s">
        <v>19</v>
      </c>
      <c r="H118" s="12" t="s">
        <v>212</v>
      </c>
      <c r="I118" s="10" t="s">
        <v>21</v>
      </c>
      <c r="J118" s="12" t="s">
        <v>22</v>
      </c>
      <c r="K118" s="15" t="str">
        <f>_xlfn.DISPIMG("ID_F3CC551B206949D29B8D6A2C9500EC57",1)</f>
        <v>=DISPIMG("ID_F3CC551B206949D29B8D6A2C9500EC57",1)</v>
      </c>
      <c r="L118" s="11" t="str">
        <f>_xlfn.DISPIMG("ID_FF8FC8ABC4AE401C9426175F0B73CBB4",1)</f>
        <v>=DISPIMG("ID_FF8FC8ABC4AE401C9426175F0B73CBB4",1)</v>
      </c>
    </row>
    <row r="119" ht="409.5" spans="1:12">
      <c r="A119" s="10">
        <v>115</v>
      </c>
      <c r="B119" s="11" t="s">
        <v>15</v>
      </c>
      <c r="C119" s="12" t="s">
        <v>406</v>
      </c>
      <c r="D119" s="12" t="s">
        <v>407</v>
      </c>
      <c r="E119" s="12"/>
      <c r="F119" s="12" t="s">
        <v>408</v>
      </c>
      <c r="G119" s="12" t="s">
        <v>19</v>
      </c>
      <c r="H119" s="12" t="s">
        <v>212</v>
      </c>
      <c r="I119" s="10" t="s">
        <v>21</v>
      </c>
      <c r="J119" s="12" t="s">
        <v>22</v>
      </c>
      <c r="K119" s="15" t="str">
        <f>_xlfn.DISPIMG("ID_06173B0C093C4CB5944A999C052A0688",1)</f>
        <v>=DISPIMG("ID_06173B0C093C4CB5944A999C052A0688",1)</v>
      </c>
      <c r="L119" s="11" t="str">
        <f>_xlfn.DISPIMG("ID_D6ED21E1E5354D32A628C2E9E989B64A",1)</f>
        <v>=DISPIMG("ID_D6ED21E1E5354D32A628C2E9E989B64A",1)</v>
      </c>
    </row>
    <row r="120" ht="409.5" spans="1:12">
      <c r="A120" s="10">
        <v>116</v>
      </c>
      <c r="B120" s="11" t="s">
        <v>15</v>
      </c>
      <c r="C120" s="12" t="s">
        <v>409</v>
      </c>
      <c r="D120" s="12" t="s">
        <v>410</v>
      </c>
      <c r="E120" s="12"/>
      <c r="F120" s="12" t="s">
        <v>411</v>
      </c>
      <c r="G120" s="12" t="s">
        <v>19</v>
      </c>
      <c r="H120" s="12" t="s">
        <v>212</v>
      </c>
      <c r="I120" s="10" t="s">
        <v>21</v>
      </c>
      <c r="J120" s="12" t="s">
        <v>22</v>
      </c>
      <c r="K120" s="15" t="str">
        <f>_xlfn.DISPIMG("ID_7576C9EEDEE744268EBD5D226A2344DE",1)</f>
        <v>=DISPIMG("ID_7576C9EEDEE744268EBD5D226A2344DE",1)</v>
      </c>
      <c r="L120" s="11" t="str">
        <f>_xlfn.DISPIMG("ID_8129C5924FA34AEFBA86AC52301C4C98",1)</f>
        <v>=DISPIMG("ID_8129C5924FA34AEFBA86AC52301C4C98",1)</v>
      </c>
    </row>
    <row r="121" ht="409.5" spans="1:12">
      <c r="A121" s="10">
        <v>117</v>
      </c>
      <c r="B121" s="11" t="s">
        <v>15</v>
      </c>
      <c r="C121" s="12" t="s">
        <v>412</v>
      </c>
      <c r="D121" s="12" t="s">
        <v>413</v>
      </c>
      <c r="E121" s="12"/>
      <c r="F121" s="12" t="s">
        <v>414</v>
      </c>
      <c r="G121" s="12" t="s">
        <v>19</v>
      </c>
      <c r="H121" s="12" t="s">
        <v>212</v>
      </c>
      <c r="I121" s="10" t="s">
        <v>21</v>
      </c>
      <c r="J121" s="12" t="s">
        <v>22</v>
      </c>
      <c r="K121" s="15" t="str">
        <f>_xlfn.DISPIMG("ID_873415D6F6C844C4B53A74C11B2B5180",1)</f>
        <v>=DISPIMG("ID_873415D6F6C844C4B53A74C11B2B5180",1)</v>
      </c>
      <c r="L121" s="11" t="str">
        <f>_xlfn.DISPIMG("ID_8CFA4618C1E64097B7EE35DB8D71DF5F",1)</f>
        <v>=DISPIMG("ID_8CFA4618C1E64097B7EE35DB8D71DF5F",1)</v>
      </c>
    </row>
    <row r="122" ht="409.5" spans="1:12">
      <c r="A122" s="10">
        <v>118</v>
      </c>
      <c r="B122" s="11" t="s">
        <v>15</v>
      </c>
      <c r="C122" s="12" t="s">
        <v>415</v>
      </c>
      <c r="D122" s="12" t="s">
        <v>416</v>
      </c>
      <c r="E122" s="12"/>
      <c r="F122" s="12" t="s">
        <v>417</v>
      </c>
      <c r="G122" s="12" t="s">
        <v>19</v>
      </c>
      <c r="H122" s="12" t="s">
        <v>418</v>
      </c>
      <c r="I122" s="10" t="s">
        <v>21</v>
      </c>
      <c r="J122" s="12" t="s">
        <v>22</v>
      </c>
      <c r="K122" s="15" t="str">
        <f>_xlfn.DISPIMG("ID_DE7FC969E67745C88426B8FA9C8F4B59",1)</f>
        <v>=DISPIMG("ID_DE7FC969E67745C88426B8FA9C8F4B59",1)</v>
      </c>
      <c r="L122" s="11" t="str">
        <f>_xlfn.DISPIMG("ID_092C4BFF43FC446C85219602FBA19A4B",1)</f>
        <v>=DISPIMG("ID_092C4BFF43FC446C85219602FBA19A4B",1)</v>
      </c>
    </row>
    <row r="123" ht="409.5" spans="1:12">
      <c r="A123" s="10">
        <v>119</v>
      </c>
      <c r="B123" s="11" t="s">
        <v>15</v>
      </c>
      <c r="C123" s="12" t="s">
        <v>419</v>
      </c>
      <c r="D123" s="12" t="s">
        <v>420</v>
      </c>
      <c r="E123" s="12"/>
      <c r="F123" s="12" t="s">
        <v>421</v>
      </c>
      <c r="G123" s="12" t="s">
        <v>19</v>
      </c>
      <c r="H123" s="12" t="s">
        <v>422</v>
      </c>
      <c r="I123" s="10" t="s">
        <v>21</v>
      </c>
      <c r="J123" s="12" t="s">
        <v>22</v>
      </c>
      <c r="K123" s="15" t="str">
        <f>_xlfn.DISPIMG("ID_9A10EBB270644435B3CE03C40F6BAE27",1)</f>
        <v>=DISPIMG("ID_9A10EBB270644435B3CE03C40F6BAE27",1)</v>
      </c>
      <c r="L123" s="11" t="str">
        <f>_xlfn.DISPIMG("ID_F2FCE5FF05634562A4FDC5B444FF7EB4",1)</f>
        <v>=DISPIMG("ID_F2FCE5FF05634562A4FDC5B444FF7EB4",1)</v>
      </c>
    </row>
    <row r="124" ht="409.5" spans="1:12">
      <c r="A124" s="10">
        <v>120</v>
      </c>
      <c r="B124" s="11" t="s">
        <v>15</v>
      </c>
      <c r="C124" s="12" t="s">
        <v>423</v>
      </c>
      <c r="D124" s="12" t="s">
        <v>424</v>
      </c>
      <c r="E124" s="12"/>
      <c r="F124" s="12" t="s">
        <v>425</v>
      </c>
      <c r="G124" s="12" t="s">
        <v>19</v>
      </c>
      <c r="H124" s="12" t="s">
        <v>418</v>
      </c>
      <c r="I124" s="10" t="s">
        <v>21</v>
      </c>
      <c r="J124" s="12" t="s">
        <v>22</v>
      </c>
      <c r="K124" s="15" t="str">
        <f>_xlfn.DISPIMG("ID_BCA6401DDC1F41ADAC69DA028313ECCC",1)</f>
        <v>=DISPIMG("ID_BCA6401DDC1F41ADAC69DA028313ECCC",1)</v>
      </c>
      <c r="L124" s="11" t="str">
        <f>_xlfn.DISPIMG("ID_353A77DE78A24720A94F1DC590ADC633",1)</f>
        <v>=DISPIMG("ID_353A77DE78A24720A94F1DC590ADC633",1)</v>
      </c>
    </row>
    <row r="125" ht="409.5" spans="1:12">
      <c r="A125" s="10">
        <v>121</v>
      </c>
      <c r="B125" s="11" t="s">
        <v>15</v>
      </c>
      <c r="C125" s="12" t="s">
        <v>426</v>
      </c>
      <c r="D125" s="12" t="s">
        <v>427</v>
      </c>
      <c r="E125" s="12"/>
      <c r="F125" s="12" t="s">
        <v>428</v>
      </c>
      <c r="G125" s="12" t="s">
        <v>19</v>
      </c>
      <c r="H125" s="12" t="s">
        <v>422</v>
      </c>
      <c r="I125" s="10" t="s">
        <v>21</v>
      </c>
      <c r="J125" s="12" t="s">
        <v>22</v>
      </c>
      <c r="K125" s="15" t="str">
        <f>_xlfn.DISPIMG("ID_3617396EB8CC45AA86500069CECC74E2",1)</f>
        <v>=DISPIMG("ID_3617396EB8CC45AA86500069CECC74E2",1)</v>
      </c>
      <c r="L125" s="11" t="str">
        <f>_xlfn.DISPIMG("ID_5F41FEC4360445769ADCF1E25F209607",1)</f>
        <v>=DISPIMG("ID_5F41FEC4360445769ADCF1E25F209607",1)</v>
      </c>
    </row>
    <row r="126" ht="409.5" spans="1:12">
      <c r="A126" s="10">
        <v>122</v>
      </c>
      <c r="B126" s="11" t="s">
        <v>15</v>
      </c>
      <c r="C126" s="12" t="s">
        <v>429</v>
      </c>
      <c r="D126" s="12" t="s">
        <v>430</v>
      </c>
      <c r="E126" s="12"/>
      <c r="F126" s="12" t="s">
        <v>431</v>
      </c>
      <c r="G126" s="12" t="s">
        <v>19</v>
      </c>
      <c r="H126" s="12" t="s">
        <v>432</v>
      </c>
      <c r="I126" s="10" t="s">
        <v>21</v>
      </c>
      <c r="J126" s="12" t="s">
        <v>22</v>
      </c>
      <c r="K126" s="15" t="str">
        <f>_xlfn.DISPIMG("ID_E24C75F2CB42457596037A91F8C87CFA",1)</f>
        <v>=DISPIMG("ID_E24C75F2CB42457596037A91F8C87CFA",1)</v>
      </c>
      <c r="L126" s="11" t="str">
        <f>_xlfn.DISPIMG("ID_3905EE924766490C96C8B4D9B7818687",1)</f>
        <v>=DISPIMG("ID_3905EE924766490C96C8B4D9B7818687",1)</v>
      </c>
    </row>
    <row r="127" ht="409.5" spans="1:12">
      <c r="A127" s="10">
        <v>123</v>
      </c>
      <c r="B127" s="11" t="s">
        <v>15</v>
      </c>
      <c r="C127" s="12" t="s">
        <v>433</v>
      </c>
      <c r="D127" s="12" t="s">
        <v>434</v>
      </c>
      <c r="E127" s="12"/>
      <c r="F127" s="12" t="s">
        <v>435</v>
      </c>
      <c r="G127" s="12" t="s">
        <v>19</v>
      </c>
      <c r="H127" s="12" t="s">
        <v>432</v>
      </c>
      <c r="I127" s="10" t="s">
        <v>21</v>
      </c>
      <c r="J127" s="12" t="s">
        <v>22</v>
      </c>
      <c r="K127" s="15" t="str">
        <f>_xlfn.DISPIMG("ID_E05A6D5A467E4388B07CDAADD186A313",1)</f>
        <v>=DISPIMG("ID_E05A6D5A467E4388B07CDAADD186A313",1)</v>
      </c>
      <c r="L127" s="11" t="str">
        <f>_xlfn.DISPIMG("ID_F105CE551CE7482EA772C420CE49A9C1",1)</f>
        <v>=DISPIMG("ID_F105CE551CE7482EA772C420CE49A9C1",1)</v>
      </c>
    </row>
    <row r="128" ht="409.5" spans="1:12">
      <c r="A128" s="10">
        <v>124</v>
      </c>
      <c r="B128" s="11" t="s">
        <v>15</v>
      </c>
      <c r="C128" s="12" t="s">
        <v>436</v>
      </c>
      <c r="D128" s="12" t="s">
        <v>437</v>
      </c>
      <c r="E128" s="12"/>
      <c r="F128" s="12" t="s">
        <v>438</v>
      </c>
      <c r="G128" s="12" t="s">
        <v>19</v>
      </c>
      <c r="H128" s="12" t="s">
        <v>439</v>
      </c>
      <c r="I128" s="10" t="s">
        <v>21</v>
      </c>
      <c r="J128" s="12" t="s">
        <v>22</v>
      </c>
      <c r="K128" s="15" t="str">
        <f>_xlfn.DISPIMG("ID_D721026645E0445EBFC0C0CEDEBDA44B",1)</f>
        <v>=DISPIMG("ID_D721026645E0445EBFC0C0CEDEBDA44B",1)</v>
      </c>
      <c r="L128" s="11" t="str">
        <f>_xlfn.DISPIMG("ID_97F4928ECC6442BF9AE49329BCF3A7D5",1)</f>
        <v>=DISPIMG("ID_97F4928ECC6442BF9AE49329BCF3A7D5",1)</v>
      </c>
    </row>
    <row r="129" ht="409.5" spans="1:12">
      <c r="A129" s="10">
        <v>125</v>
      </c>
      <c r="B129" s="11" t="s">
        <v>15</v>
      </c>
      <c r="C129" s="12" t="s">
        <v>440</v>
      </c>
      <c r="D129" s="12" t="s">
        <v>441</v>
      </c>
      <c r="E129" s="12"/>
      <c r="F129" s="12" t="s">
        <v>442</v>
      </c>
      <c r="G129" s="12" t="s">
        <v>19</v>
      </c>
      <c r="H129" s="12" t="s">
        <v>439</v>
      </c>
      <c r="I129" s="10" t="s">
        <v>21</v>
      </c>
      <c r="J129" s="12" t="s">
        <v>22</v>
      </c>
      <c r="K129" s="15" t="str">
        <f>_xlfn.DISPIMG("ID_AF99147BA5AA48FEACFE24DB08706868",1)</f>
        <v>=DISPIMG("ID_AF99147BA5AA48FEACFE24DB08706868",1)</v>
      </c>
      <c r="L129" s="11" t="str">
        <f>_xlfn.DISPIMG("ID_859C7CDEE6E142F096FF05DEFF8C5A77",1)</f>
        <v>=DISPIMG("ID_859C7CDEE6E142F096FF05DEFF8C5A77",1)</v>
      </c>
    </row>
    <row r="130" ht="409.5" spans="1:12">
      <c r="A130" s="10">
        <v>126</v>
      </c>
      <c r="B130" s="11" t="s">
        <v>15</v>
      </c>
      <c r="C130" s="12" t="s">
        <v>443</v>
      </c>
      <c r="D130" s="12" t="s">
        <v>444</v>
      </c>
      <c r="E130" s="12"/>
      <c r="F130" s="12" t="s">
        <v>445</v>
      </c>
      <c r="G130" s="12" t="s">
        <v>19</v>
      </c>
      <c r="H130" s="12" t="s">
        <v>446</v>
      </c>
      <c r="I130" s="10" t="s">
        <v>21</v>
      </c>
      <c r="J130" s="12" t="s">
        <v>22</v>
      </c>
      <c r="K130" s="15" t="str">
        <f>_xlfn.DISPIMG("ID_B3BB16482E9942A9B8CB3247B821FE9C",1)</f>
        <v>=DISPIMG("ID_B3BB16482E9942A9B8CB3247B821FE9C",1)</v>
      </c>
      <c r="L130" s="11" t="str">
        <f>_xlfn.DISPIMG("ID_EEE1683A3D43418EA77637F348A46F60",1)</f>
        <v>=DISPIMG("ID_EEE1683A3D43418EA77637F348A46F60",1)</v>
      </c>
    </row>
    <row r="131" ht="409.5" spans="1:12">
      <c r="A131" s="10">
        <v>127</v>
      </c>
      <c r="B131" s="11" t="s">
        <v>15</v>
      </c>
      <c r="C131" s="12" t="s">
        <v>447</v>
      </c>
      <c r="D131" s="12" t="s">
        <v>448</v>
      </c>
      <c r="E131" s="12"/>
      <c r="F131" s="12" t="s">
        <v>449</v>
      </c>
      <c r="G131" s="12" t="s">
        <v>19</v>
      </c>
      <c r="H131" s="12" t="s">
        <v>446</v>
      </c>
      <c r="I131" s="10" t="s">
        <v>21</v>
      </c>
      <c r="J131" s="12" t="s">
        <v>22</v>
      </c>
      <c r="K131" s="15" t="str">
        <f>_xlfn.DISPIMG("ID_EFADB16BCC604D0B927A0043B2C9662B",1)</f>
        <v>=DISPIMG("ID_EFADB16BCC604D0B927A0043B2C9662B",1)</v>
      </c>
      <c r="L131" s="11" t="str">
        <f>_xlfn.DISPIMG("ID_03124718B90243C8B975AA74DAED0424",1)</f>
        <v>=DISPIMG("ID_03124718B90243C8B975AA74DAED0424",1)</v>
      </c>
    </row>
    <row r="132" ht="409.5" spans="1:12">
      <c r="A132" s="10">
        <v>128</v>
      </c>
      <c r="B132" s="11" t="s">
        <v>15</v>
      </c>
      <c r="C132" s="12" t="s">
        <v>450</v>
      </c>
      <c r="D132" s="12" t="s">
        <v>451</v>
      </c>
      <c r="E132" s="12"/>
      <c r="F132" s="12" t="s">
        <v>452</v>
      </c>
      <c r="G132" s="12" t="s">
        <v>19</v>
      </c>
      <c r="H132" s="12" t="s">
        <v>446</v>
      </c>
      <c r="I132" s="10" t="s">
        <v>21</v>
      </c>
      <c r="J132" s="12" t="s">
        <v>22</v>
      </c>
      <c r="K132" s="15" t="str">
        <f>_xlfn.DISPIMG("ID_2FC35D9B70724A5FA403BAB26B4BA988",1)</f>
        <v>=DISPIMG("ID_2FC35D9B70724A5FA403BAB26B4BA988",1)</v>
      </c>
      <c r="L132" s="11" t="str">
        <f>_xlfn.DISPIMG("ID_8F75224858E24B95963074DCBBD7DFB7",1)</f>
        <v>=DISPIMG("ID_8F75224858E24B95963074DCBBD7DFB7",1)</v>
      </c>
    </row>
    <row r="133" ht="409.5" spans="1:12">
      <c r="A133" s="10">
        <v>129</v>
      </c>
      <c r="B133" s="11" t="s">
        <v>15</v>
      </c>
      <c r="C133" s="12" t="s">
        <v>453</v>
      </c>
      <c r="D133" s="12" t="s">
        <v>454</v>
      </c>
      <c r="E133" s="12"/>
      <c r="F133" s="12" t="s">
        <v>455</v>
      </c>
      <c r="G133" s="12" t="s">
        <v>19</v>
      </c>
      <c r="H133" s="12" t="s">
        <v>439</v>
      </c>
      <c r="I133" s="10" t="s">
        <v>21</v>
      </c>
      <c r="J133" s="12" t="s">
        <v>22</v>
      </c>
      <c r="K133" s="15" t="str">
        <f>_xlfn.DISPIMG("ID_03FE451CAE104DC391C6E4206F9E3EF3",1)</f>
        <v>=DISPIMG("ID_03FE451CAE104DC391C6E4206F9E3EF3",1)</v>
      </c>
      <c r="L133" s="11" t="str">
        <f>_xlfn.DISPIMG("ID_D760928FF8C84039A6D35C857B754372",1)</f>
        <v>=DISPIMG("ID_D760928FF8C84039A6D35C857B754372",1)</v>
      </c>
    </row>
    <row r="134" ht="409.5" spans="1:12">
      <c r="A134" s="10">
        <v>130</v>
      </c>
      <c r="B134" s="11" t="s">
        <v>15</v>
      </c>
      <c r="C134" s="12" t="s">
        <v>456</v>
      </c>
      <c r="D134" s="12" t="s">
        <v>457</v>
      </c>
      <c r="E134" s="12"/>
      <c r="F134" s="12" t="s">
        <v>458</v>
      </c>
      <c r="G134" s="12" t="s">
        <v>19</v>
      </c>
      <c r="H134" s="12" t="s">
        <v>439</v>
      </c>
      <c r="I134" s="10" t="s">
        <v>21</v>
      </c>
      <c r="J134" s="12" t="s">
        <v>22</v>
      </c>
      <c r="K134" s="15" t="str">
        <f>_xlfn.DISPIMG("ID_4FEA7B157F764F66B5364D221570C623",1)</f>
        <v>=DISPIMG("ID_4FEA7B157F764F66B5364D221570C623",1)</v>
      </c>
      <c r="L134" s="11" t="str">
        <f>_xlfn.DISPIMG("ID_23EC9198DAFD40BDB2AA63955CC7327B",1)</f>
        <v>=DISPIMG("ID_23EC9198DAFD40BDB2AA63955CC7327B",1)</v>
      </c>
    </row>
    <row r="135" ht="409.5" spans="1:12">
      <c r="A135" s="10">
        <v>131</v>
      </c>
      <c r="B135" s="11" t="s">
        <v>15</v>
      </c>
      <c r="C135" s="12" t="s">
        <v>459</v>
      </c>
      <c r="D135" s="12" t="s">
        <v>460</v>
      </c>
      <c r="E135" s="12"/>
      <c r="F135" s="12" t="s">
        <v>461</v>
      </c>
      <c r="G135" s="12" t="s">
        <v>19</v>
      </c>
      <c r="H135" s="12" t="s">
        <v>462</v>
      </c>
      <c r="I135" s="10" t="s">
        <v>21</v>
      </c>
      <c r="J135" s="12" t="s">
        <v>22</v>
      </c>
      <c r="K135" s="15" t="str">
        <f>_xlfn.DISPIMG("ID_53347DD6296D4AC69B40032AB5CD2DE0",1)</f>
        <v>=DISPIMG("ID_53347DD6296D4AC69B40032AB5CD2DE0",1)</v>
      </c>
      <c r="L135" s="11" t="str">
        <f>_xlfn.DISPIMG("ID_8D25C961DC8A4B8584CC07C7A54036DA",1)</f>
        <v>=DISPIMG("ID_8D25C961DC8A4B8584CC07C7A54036DA",1)</v>
      </c>
    </row>
    <row r="136" ht="409.5" spans="1:12">
      <c r="A136" s="10">
        <v>132</v>
      </c>
      <c r="B136" s="11" t="s">
        <v>15</v>
      </c>
      <c r="C136" s="12" t="s">
        <v>463</v>
      </c>
      <c r="D136" s="12" t="s">
        <v>460</v>
      </c>
      <c r="E136" s="12"/>
      <c r="F136" s="12" t="s">
        <v>464</v>
      </c>
      <c r="G136" s="12" t="s">
        <v>19</v>
      </c>
      <c r="H136" s="12" t="s">
        <v>465</v>
      </c>
      <c r="I136" s="10" t="s">
        <v>21</v>
      </c>
      <c r="J136" s="12" t="s">
        <v>22</v>
      </c>
      <c r="K136" s="15" t="str">
        <f>_xlfn.DISPIMG("ID_A43FA849654743A5B30EA99576974FF9",1)</f>
        <v>=DISPIMG("ID_A43FA849654743A5B30EA99576974FF9",1)</v>
      </c>
      <c r="L136" s="11" t="str">
        <f>_xlfn.DISPIMG("ID_9130B05E0D2B420ABCBD536D48F1D9FB",1)</f>
        <v>=DISPIMG("ID_9130B05E0D2B420ABCBD536D48F1D9FB",1)</v>
      </c>
    </row>
    <row r="137" ht="409.5" spans="1:12">
      <c r="A137" s="10">
        <v>133</v>
      </c>
      <c r="B137" s="11" t="s">
        <v>15</v>
      </c>
      <c r="C137" s="12" t="s">
        <v>466</v>
      </c>
      <c r="D137" s="12" t="s">
        <v>467</v>
      </c>
      <c r="E137" s="12"/>
      <c r="F137" s="12" t="s">
        <v>468</v>
      </c>
      <c r="G137" s="12" t="s">
        <v>19</v>
      </c>
      <c r="H137" s="12" t="s">
        <v>469</v>
      </c>
      <c r="I137" s="10" t="s">
        <v>21</v>
      </c>
      <c r="J137" s="12" t="s">
        <v>22</v>
      </c>
      <c r="K137" s="15" t="str">
        <f>_xlfn.DISPIMG("ID_8F261E06DAB641908DCF914E7FB41A17",1)</f>
        <v>=DISPIMG("ID_8F261E06DAB641908DCF914E7FB41A17",1)</v>
      </c>
      <c r="L137" s="11" t="str">
        <f>_xlfn.DISPIMG("ID_8E311A7DD5474B23AC485E2C744C57B5",1)</f>
        <v>=DISPIMG("ID_8E311A7DD5474B23AC485E2C744C57B5",1)</v>
      </c>
    </row>
    <row r="138" ht="409.5" spans="1:12">
      <c r="A138" s="10">
        <v>134</v>
      </c>
      <c r="B138" s="11" t="s">
        <v>15</v>
      </c>
      <c r="C138" s="12" t="s">
        <v>470</v>
      </c>
      <c r="D138" s="12" t="s">
        <v>471</v>
      </c>
      <c r="E138" s="12"/>
      <c r="F138" s="12" t="s">
        <v>472</v>
      </c>
      <c r="G138" s="12" t="s">
        <v>19</v>
      </c>
      <c r="H138" s="12" t="s">
        <v>473</v>
      </c>
      <c r="I138" s="10" t="s">
        <v>21</v>
      </c>
      <c r="J138" s="12" t="s">
        <v>22</v>
      </c>
      <c r="K138" s="15" t="str">
        <f>_xlfn.DISPIMG("ID_1DF30458DBE845AE9E121D7794254A70",1)</f>
        <v>=DISPIMG("ID_1DF30458DBE845AE9E121D7794254A70",1)</v>
      </c>
      <c r="L138" s="11" t="str">
        <f>_xlfn.DISPIMG("ID_6EAC5F43B1CC45D99811B423C59FEB4D",1)</f>
        <v>=DISPIMG("ID_6EAC5F43B1CC45D99811B423C59FEB4D",1)</v>
      </c>
    </row>
    <row r="139" ht="409.5" spans="1:12">
      <c r="A139" s="10">
        <v>135</v>
      </c>
      <c r="B139" s="11" t="s">
        <v>15</v>
      </c>
      <c r="C139" s="12" t="s">
        <v>474</v>
      </c>
      <c r="D139" s="12" t="s">
        <v>475</v>
      </c>
      <c r="E139" s="12"/>
      <c r="F139" s="12" t="s">
        <v>476</v>
      </c>
      <c r="G139" s="12" t="s">
        <v>19</v>
      </c>
      <c r="H139" s="12" t="s">
        <v>477</v>
      </c>
      <c r="I139" s="10" t="s">
        <v>21</v>
      </c>
      <c r="J139" s="12" t="s">
        <v>22</v>
      </c>
      <c r="K139" s="15" t="str">
        <f>_xlfn.DISPIMG("ID_B09B9818A7EA499CA63C03F98125B2BC",1)</f>
        <v>=DISPIMG("ID_B09B9818A7EA499CA63C03F98125B2BC",1)</v>
      </c>
      <c r="L139" s="11" t="str">
        <f>_xlfn.DISPIMG("ID_ED50B955422E4B149F2DC17C76DDB968",1)</f>
        <v>=DISPIMG("ID_ED50B955422E4B149F2DC17C76DDB968",1)</v>
      </c>
    </row>
    <row r="140" ht="409.5" spans="1:12">
      <c r="A140" s="10">
        <v>136</v>
      </c>
      <c r="B140" s="11" t="s">
        <v>15</v>
      </c>
      <c r="C140" s="12" t="s">
        <v>478</v>
      </c>
      <c r="D140" s="12" t="s">
        <v>479</v>
      </c>
      <c r="E140" s="12"/>
      <c r="F140" s="12" t="s">
        <v>480</v>
      </c>
      <c r="G140" s="12" t="s">
        <v>19</v>
      </c>
      <c r="H140" s="12" t="s">
        <v>477</v>
      </c>
      <c r="I140" s="10" t="s">
        <v>21</v>
      </c>
      <c r="J140" s="12" t="s">
        <v>22</v>
      </c>
      <c r="K140" s="15" t="str">
        <f>_xlfn.DISPIMG("ID_FF3090ACCB9F4BD5A7D5ABBAC849344F",1)</f>
        <v>=DISPIMG("ID_FF3090ACCB9F4BD5A7D5ABBAC849344F",1)</v>
      </c>
      <c r="L140" s="11" t="str">
        <f>_xlfn.DISPIMG("ID_58102619A9744998B80EC142C6F92A11",1)</f>
        <v>=DISPIMG("ID_58102619A9744998B80EC142C6F92A11",1)</v>
      </c>
    </row>
    <row r="141" ht="409.5" spans="1:12">
      <c r="A141" s="10">
        <v>137</v>
      </c>
      <c r="B141" s="11" t="s">
        <v>15</v>
      </c>
      <c r="C141" s="12" t="s">
        <v>481</v>
      </c>
      <c r="D141" s="12" t="s">
        <v>482</v>
      </c>
      <c r="E141" s="12"/>
      <c r="F141" s="12" t="s">
        <v>483</v>
      </c>
      <c r="G141" s="12" t="s">
        <v>19</v>
      </c>
      <c r="H141" s="12" t="s">
        <v>353</v>
      </c>
      <c r="I141" s="10" t="s">
        <v>21</v>
      </c>
      <c r="J141" s="12" t="s">
        <v>22</v>
      </c>
      <c r="K141" s="15" t="str">
        <f>_xlfn.DISPIMG("ID_E0135C159BAB439E9F6C8B70F018AA0D",1)</f>
        <v>=DISPIMG("ID_E0135C159BAB439E9F6C8B70F018AA0D",1)</v>
      </c>
      <c r="L141" s="11" t="str">
        <f>_xlfn.DISPIMG("ID_1402975315AA4B159BAA4AA1FEAD112C",1)</f>
        <v>=DISPIMG("ID_1402975315AA4B159BAA4AA1FEAD112C",1)</v>
      </c>
    </row>
    <row r="142" ht="409.5" spans="1:12">
      <c r="A142" s="10">
        <v>138</v>
      </c>
      <c r="B142" s="11" t="s">
        <v>15</v>
      </c>
      <c r="C142" s="12" t="s">
        <v>484</v>
      </c>
      <c r="D142" s="12" t="s">
        <v>485</v>
      </c>
      <c r="E142" s="12"/>
      <c r="F142" s="12" t="s">
        <v>486</v>
      </c>
      <c r="G142" s="12" t="s">
        <v>19</v>
      </c>
      <c r="H142" s="12" t="s">
        <v>487</v>
      </c>
      <c r="I142" s="10" t="s">
        <v>21</v>
      </c>
      <c r="J142" s="12" t="s">
        <v>22</v>
      </c>
      <c r="K142" s="15" t="str">
        <f>_xlfn.DISPIMG("ID_8EF985D86067408FA4588D37874B342B",1)</f>
        <v>=DISPIMG("ID_8EF985D86067408FA4588D37874B342B",1)</v>
      </c>
      <c r="L142" s="11" t="str">
        <f>_xlfn.DISPIMG("ID_FDA9BFE5EE674D198196F4209E65D9C2",1)</f>
        <v>=DISPIMG("ID_FDA9BFE5EE674D198196F4209E65D9C2",1)</v>
      </c>
    </row>
    <row r="143" ht="409.5" spans="1:12">
      <c r="A143" s="10">
        <v>139</v>
      </c>
      <c r="B143" s="11" t="s">
        <v>15</v>
      </c>
      <c r="C143" s="12" t="s">
        <v>488</v>
      </c>
      <c r="D143" s="12" t="s">
        <v>489</v>
      </c>
      <c r="E143" s="12"/>
      <c r="F143" s="12" t="s">
        <v>490</v>
      </c>
      <c r="G143" s="12" t="s">
        <v>19</v>
      </c>
      <c r="H143" s="12" t="s">
        <v>491</v>
      </c>
      <c r="I143" s="10" t="s">
        <v>21</v>
      </c>
      <c r="J143" s="12" t="s">
        <v>22</v>
      </c>
      <c r="K143" s="15" t="str">
        <f>_xlfn.DISPIMG("ID_7ED79B77EF174C7FABC9B9234FBAA477",1)</f>
        <v>=DISPIMG("ID_7ED79B77EF174C7FABC9B9234FBAA477",1)</v>
      </c>
      <c r="L143" s="11" t="str">
        <f>_xlfn.DISPIMG("ID_C22B51E231C9440496AFE373993697B3",1)</f>
        <v>=DISPIMG("ID_C22B51E231C9440496AFE373993697B3",1)</v>
      </c>
    </row>
    <row r="144" ht="409.5" spans="1:12">
      <c r="A144" s="10">
        <v>140</v>
      </c>
      <c r="B144" s="11" t="s">
        <v>15</v>
      </c>
      <c r="C144" s="12" t="s">
        <v>492</v>
      </c>
      <c r="D144" s="12" t="s">
        <v>493</v>
      </c>
      <c r="E144" s="12"/>
      <c r="F144" s="12" t="s">
        <v>494</v>
      </c>
      <c r="G144" s="12" t="s">
        <v>19</v>
      </c>
      <c r="H144" s="12" t="s">
        <v>477</v>
      </c>
      <c r="I144" s="10" t="s">
        <v>21</v>
      </c>
      <c r="J144" s="12" t="s">
        <v>22</v>
      </c>
      <c r="K144" s="15" t="str">
        <f>_xlfn.DISPIMG("ID_0287FC92CDF2461FBB12FF7778742C50",1)</f>
        <v>=DISPIMG("ID_0287FC92CDF2461FBB12FF7778742C50",1)</v>
      </c>
      <c r="L144" s="11" t="str">
        <f>_xlfn.DISPIMG("ID_5D050B777B9043C99D72ADE5190B1246",1)</f>
        <v>=DISPIMG("ID_5D050B777B9043C99D72ADE5190B1246",1)</v>
      </c>
    </row>
    <row r="145" ht="409.5" spans="1:12">
      <c r="A145" s="10">
        <v>141</v>
      </c>
      <c r="B145" s="11" t="s">
        <v>15</v>
      </c>
      <c r="C145" s="12" t="s">
        <v>495</v>
      </c>
      <c r="D145" s="12" t="s">
        <v>496</v>
      </c>
      <c r="E145" s="12"/>
      <c r="F145" s="12" t="s">
        <v>497</v>
      </c>
      <c r="G145" s="12" t="s">
        <v>19</v>
      </c>
      <c r="H145" s="12" t="s">
        <v>212</v>
      </c>
      <c r="I145" s="10" t="s">
        <v>21</v>
      </c>
      <c r="J145" s="12" t="s">
        <v>22</v>
      </c>
      <c r="K145" s="15" t="str">
        <f>_xlfn.DISPIMG("ID_00597CD03D2A48C09A7276CCC685215D",1)</f>
        <v>=DISPIMG("ID_00597CD03D2A48C09A7276CCC685215D",1)</v>
      </c>
      <c r="L145" s="11" t="str">
        <f>_xlfn.DISPIMG("ID_23EF52010F814151AB28573B3B5243EE",1)</f>
        <v>=DISPIMG("ID_23EF52010F814151AB28573B3B5243EE",1)</v>
      </c>
    </row>
    <row r="146" ht="409.5" spans="1:12">
      <c r="A146" s="10">
        <v>142</v>
      </c>
      <c r="B146" s="11" t="s">
        <v>15</v>
      </c>
      <c r="C146" s="12" t="s">
        <v>498</v>
      </c>
      <c r="D146" s="12" t="s">
        <v>499</v>
      </c>
      <c r="E146" s="12"/>
      <c r="F146" s="12" t="s">
        <v>500</v>
      </c>
      <c r="G146" s="12" t="s">
        <v>19</v>
      </c>
      <c r="H146" s="12" t="s">
        <v>212</v>
      </c>
      <c r="I146" s="10" t="s">
        <v>21</v>
      </c>
      <c r="J146" s="12" t="s">
        <v>22</v>
      </c>
      <c r="K146" s="15" t="str">
        <f>_xlfn.DISPIMG("ID_3DC1F72CCD4E42D9B54D6D275A49BEB8",1)</f>
        <v>=DISPIMG("ID_3DC1F72CCD4E42D9B54D6D275A49BEB8",1)</v>
      </c>
      <c r="L146" s="11" t="str">
        <f>_xlfn.DISPIMG("ID_840E00F554664DEDA9300B5912CB740A",1)</f>
        <v>=DISPIMG("ID_840E00F554664DEDA9300B5912CB740A",1)</v>
      </c>
    </row>
    <row r="147" ht="409.5" spans="1:12">
      <c r="A147" s="10">
        <v>143</v>
      </c>
      <c r="B147" s="11" t="s">
        <v>15</v>
      </c>
      <c r="C147" s="12" t="s">
        <v>501</v>
      </c>
      <c r="D147" s="12" t="s">
        <v>502</v>
      </c>
      <c r="E147" s="12"/>
      <c r="F147" s="12" t="s">
        <v>503</v>
      </c>
      <c r="G147" s="12" t="s">
        <v>19</v>
      </c>
      <c r="H147" s="12" t="s">
        <v>254</v>
      </c>
      <c r="I147" s="10" t="s">
        <v>21</v>
      </c>
      <c r="J147" s="12" t="s">
        <v>22</v>
      </c>
      <c r="K147" s="15" t="str">
        <f>_xlfn.DISPIMG("ID_18A8EDC2A0DD4376A8290CBAF8895726",1)</f>
        <v>=DISPIMG("ID_18A8EDC2A0DD4376A8290CBAF8895726",1)</v>
      </c>
      <c r="L147" s="11" t="str">
        <f>_xlfn.DISPIMG("ID_35B4979CFB364FC79A5D2A6EC3F4797B",1)</f>
        <v>=DISPIMG("ID_35B4979CFB364FC79A5D2A6EC3F4797B",1)</v>
      </c>
    </row>
    <row r="148" ht="409.5" spans="1:12">
      <c r="A148" s="10">
        <v>144</v>
      </c>
      <c r="B148" s="11" t="s">
        <v>15</v>
      </c>
      <c r="C148" s="12" t="s">
        <v>504</v>
      </c>
      <c r="D148" s="12" t="s">
        <v>505</v>
      </c>
      <c r="E148" s="12"/>
      <c r="F148" s="12" t="s">
        <v>506</v>
      </c>
      <c r="G148" s="12" t="s">
        <v>19</v>
      </c>
      <c r="H148" s="12" t="s">
        <v>254</v>
      </c>
      <c r="I148" s="10" t="s">
        <v>21</v>
      </c>
      <c r="J148" s="12" t="s">
        <v>22</v>
      </c>
      <c r="K148" s="15" t="str">
        <f>_xlfn.DISPIMG("ID_7273A0354A124E018E1C313EA0426FFA",1)</f>
        <v>=DISPIMG("ID_7273A0354A124E018E1C313EA0426FFA",1)</v>
      </c>
      <c r="L148" s="11" t="str">
        <f>_xlfn.DISPIMG("ID_88AC34E140EA40DF9CB73F7A559AF59B",1)</f>
        <v>=DISPIMG("ID_88AC34E140EA40DF9CB73F7A559AF59B",1)</v>
      </c>
    </row>
    <row r="149" ht="409.5" spans="1:12">
      <c r="A149" s="10">
        <v>145</v>
      </c>
      <c r="B149" s="11" t="s">
        <v>15</v>
      </c>
      <c r="C149" s="12" t="s">
        <v>507</v>
      </c>
      <c r="D149" s="12" t="s">
        <v>508</v>
      </c>
      <c r="E149" s="12"/>
      <c r="F149" s="12" t="s">
        <v>509</v>
      </c>
      <c r="G149" s="12" t="s">
        <v>19</v>
      </c>
      <c r="H149" s="12" t="s">
        <v>366</v>
      </c>
      <c r="I149" s="10" t="s">
        <v>21</v>
      </c>
      <c r="J149" s="12" t="s">
        <v>22</v>
      </c>
      <c r="K149" s="15" t="str">
        <f>_xlfn.DISPIMG("ID_EAE0B2DDE0EE46B1BE3D380C700B41E0",1)</f>
        <v>=DISPIMG("ID_EAE0B2DDE0EE46B1BE3D380C700B41E0",1)</v>
      </c>
      <c r="L149" s="11" t="str">
        <f>_xlfn.DISPIMG("ID_FB505C3E1CBA4001867EAAE8452126B6",1)</f>
        <v>=DISPIMG("ID_FB505C3E1CBA4001867EAAE8452126B6",1)</v>
      </c>
    </row>
    <row r="150" ht="409.5" spans="1:12">
      <c r="A150" s="10">
        <v>146</v>
      </c>
      <c r="B150" s="11" t="s">
        <v>15</v>
      </c>
      <c r="C150" s="12" t="s">
        <v>510</v>
      </c>
      <c r="D150" s="12" t="s">
        <v>511</v>
      </c>
      <c r="E150" s="12"/>
      <c r="F150" s="12" t="s">
        <v>512</v>
      </c>
      <c r="G150" s="12" t="s">
        <v>19</v>
      </c>
      <c r="H150" s="12" t="s">
        <v>212</v>
      </c>
      <c r="I150" s="10" t="s">
        <v>21</v>
      </c>
      <c r="J150" s="12" t="s">
        <v>22</v>
      </c>
      <c r="K150" s="15" t="str">
        <f>_xlfn.DISPIMG("ID_36A520A39BDE429FA1AE74FA9F2E7F72",1)</f>
        <v>=DISPIMG("ID_36A520A39BDE429FA1AE74FA9F2E7F72",1)</v>
      </c>
      <c r="L150" s="11" t="str">
        <f>_xlfn.DISPIMG("ID_DF6A256D7CB54C7CB256538F21DC4EF0",1)</f>
        <v>=DISPIMG("ID_DF6A256D7CB54C7CB256538F21DC4EF0",1)</v>
      </c>
    </row>
    <row r="151" ht="409.5" spans="1:12">
      <c r="A151" s="10">
        <v>147</v>
      </c>
      <c r="B151" s="11" t="s">
        <v>15</v>
      </c>
      <c r="C151" s="12" t="s">
        <v>513</v>
      </c>
      <c r="D151" s="12" t="s">
        <v>514</v>
      </c>
      <c r="E151" s="12"/>
      <c r="F151" s="12" t="s">
        <v>515</v>
      </c>
      <c r="G151" s="12" t="s">
        <v>19</v>
      </c>
      <c r="H151" s="12" t="s">
        <v>212</v>
      </c>
      <c r="I151" s="10" t="s">
        <v>21</v>
      </c>
      <c r="J151" s="12" t="s">
        <v>22</v>
      </c>
      <c r="K151" s="15" t="str">
        <f>_xlfn.DISPIMG("ID_C42CCDC9F0D647AB89D6C0325D47DFA2",1)</f>
        <v>=DISPIMG("ID_C42CCDC9F0D647AB89D6C0325D47DFA2",1)</v>
      </c>
      <c r="L151" s="11" t="str">
        <f>_xlfn.DISPIMG("ID_8AB8B29BBDAC439784B6D950C9CEC62F",1)</f>
        <v>=DISPIMG("ID_8AB8B29BBDAC439784B6D950C9CEC62F",1)</v>
      </c>
    </row>
    <row r="152" ht="409.5" spans="1:12">
      <c r="A152" s="10">
        <v>148</v>
      </c>
      <c r="B152" s="11" t="s">
        <v>15</v>
      </c>
      <c r="C152" s="12" t="s">
        <v>516</v>
      </c>
      <c r="D152" s="12" t="s">
        <v>517</v>
      </c>
      <c r="E152" s="12"/>
      <c r="F152" s="12" t="s">
        <v>518</v>
      </c>
      <c r="G152" s="12" t="s">
        <v>19</v>
      </c>
      <c r="H152" s="12" t="s">
        <v>212</v>
      </c>
      <c r="I152" s="10" t="s">
        <v>21</v>
      </c>
      <c r="J152" s="12" t="s">
        <v>22</v>
      </c>
      <c r="K152" s="15" t="str">
        <f>_xlfn.DISPIMG("ID_D7CD6A04CC1E4BF8BDA103132C62C1C0",1)</f>
        <v>=DISPIMG("ID_D7CD6A04CC1E4BF8BDA103132C62C1C0",1)</v>
      </c>
      <c r="L152" s="11" t="str">
        <f>_xlfn.DISPIMG("ID_BAFAE767ABF4476FBE357CBAF9228003",1)</f>
        <v>=DISPIMG("ID_BAFAE767ABF4476FBE357CBAF9228003",1)</v>
      </c>
    </row>
    <row r="153" ht="409.5" spans="1:12">
      <c r="A153" s="10">
        <v>149</v>
      </c>
      <c r="B153" s="11" t="s">
        <v>15</v>
      </c>
      <c r="C153" s="12" t="s">
        <v>519</v>
      </c>
      <c r="D153" s="12" t="s">
        <v>520</v>
      </c>
      <c r="E153" s="12"/>
      <c r="F153" s="12" t="s">
        <v>521</v>
      </c>
      <c r="G153" s="12" t="s">
        <v>19</v>
      </c>
      <c r="H153" s="12" t="s">
        <v>212</v>
      </c>
      <c r="I153" s="10" t="s">
        <v>21</v>
      </c>
      <c r="J153" s="12" t="s">
        <v>22</v>
      </c>
      <c r="K153" s="15" t="str">
        <f>_xlfn.DISPIMG("ID_918E83EC960346D4ACB84B02DE54CF0A",1)</f>
        <v>=DISPIMG("ID_918E83EC960346D4ACB84B02DE54CF0A",1)</v>
      </c>
      <c r="L153" s="11" t="str">
        <f>_xlfn.DISPIMG("ID_BD0E5FA32BCB4DD384E441AFC1EDD313",1)</f>
        <v>=DISPIMG("ID_BD0E5FA32BCB4DD384E441AFC1EDD313",1)</v>
      </c>
    </row>
    <row r="154" ht="409.5" spans="1:12">
      <c r="A154" s="10">
        <v>150</v>
      </c>
      <c r="B154" s="11" t="s">
        <v>15</v>
      </c>
      <c r="C154" s="12" t="s">
        <v>522</v>
      </c>
      <c r="D154" s="12" t="s">
        <v>523</v>
      </c>
      <c r="E154" s="12"/>
      <c r="F154" s="12" t="s">
        <v>524</v>
      </c>
      <c r="G154" s="12" t="s">
        <v>19</v>
      </c>
      <c r="H154" s="12" t="s">
        <v>212</v>
      </c>
      <c r="I154" s="10" t="s">
        <v>21</v>
      </c>
      <c r="J154" s="12" t="s">
        <v>22</v>
      </c>
      <c r="K154" s="15" t="str">
        <f>_xlfn.DISPIMG("ID_C8CDDB11E8D14FBAAF1200CCE3970F7E",1)</f>
        <v>=DISPIMG("ID_C8CDDB11E8D14FBAAF1200CCE3970F7E",1)</v>
      </c>
      <c r="L154" s="11" t="str">
        <f>_xlfn.DISPIMG("ID_818B5BA4B0404187895AA6A6487C48AB",1)</f>
        <v>=DISPIMG("ID_818B5BA4B0404187895AA6A6487C48AB",1)</v>
      </c>
    </row>
    <row r="155" ht="409.5" spans="1:12">
      <c r="A155" s="10">
        <v>151</v>
      </c>
      <c r="B155" s="11" t="s">
        <v>15</v>
      </c>
      <c r="C155" s="12" t="s">
        <v>525</v>
      </c>
      <c r="D155" s="12" t="s">
        <v>526</v>
      </c>
      <c r="E155" s="12"/>
      <c r="F155" s="12" t="s">
        <v>527</v>
      </c>
      <c r="G155" s="12" t="s">
        <v>19</v>
      </c>
      <c r="H155" s="12" t="s">
        <v>212</v>
      </c>
      <c r="I155" s="10" t="s">
        <v>21</v>
      </c>
      <c r="J155" s="12" t="s">
        <v>22</v>
      </c>
      <c r="K155" s="15" t="str">
        <f>_xlfn.DISPIMG("ID_6E68C64CFEAA4EE0A342F613D9EC495E",1)</f>
        <v>=DISPIMG("ID_6E68C64CFEAA4EE0A342F613D9EC495E",1)</v>
      </c>
      <c r="L155" s="11" t="str">
        <f>_xlfn.DISPIMG("ID_7545A8FEBEA84C5480D500E15194ED6C",1)</f>
        <v>=DISPIMG("ID_7545A8FEBEA84C5480D500E15194ED6C",1)</v>
      </c>
    </row>
    <row r="156" ht="409.5" spans="1:12">
      <c r="A156" s="10">
        <v>152</v>
      </c>
      <c r="B156" s="11" t="s">
        <v>15</v>
      </c>
      <c r="C156" s="12" t="s">
        <v>528</v>
      </c>
      <c r="D156" s="12" t="s">
        <v>529</v>
      </c>
      <c r="E156" s="12"/>
      <c r="F156" s="12" t="s">
        <v>530</v>
      </c>
      <c r="G156" s="12" t="s">
        <v>19</v>
      </c>
      <c r="H156" s="12" t="s">
        <v>212</v>
      </c>
      <c r="I156" s="10" t="s">
        <v>21</v>
      </c>
      <c r="J156" s="12" t="s">
        <v>22</v>
      </c>
      <c r="K156" s="15" t="str">
        <f>_xlfn.DISPIMG("ID_A23E25596D4C4FB28711D21CBA24C09A",1)</f>
        <v>=DISPIMG("ID_A23E25596D4C4FB28711D21CBA24C09A",1)</v>
      </c>
      <c r="L156" s="11" t="str">
        <f>_xlfn.DISPIMG("ID_EDFD8A38BF4A465B93E51281EC0A9FDC",1)</f>
        <v>=DISPIMG("ID_EDFD8A38BF4A465B93E51281EC0A9FDC",1)</v>
      </c>
    </row>
    <row r="157" ht="409.5" spans="1:12">
      <c r="A157" s="10">
        <v>153</v>
      </c>
      <c r="B157" s="11" t="s">
        <v>15</v>
      </c>
      <c r="C157" s="12" t="s">
        <v>531</v>
      </c>
      <c r="D157" s="12" t="s">
        <v>532</v>
      </c>
      <c r="E157" s="12"/>
      <c r="F157" s="12" t="s">
        <v>533</v>
      </c>
      <c r="G157" s="12" t="s">
        <v>19</v>
      </c>
      <c r="H157" s="12" t="s">
        <v>212</v>
      </c>
      <c r="I157" s="10" t="s">
        <v>21</v>
      </c>
      <c r="J157" s="12" t="s">
        <v>22</v>
      </c>
      <c r="K157" s="15" t="str">
        <f>_xlfn.DISPIMG("ID_8BE85771704E4B638CE1812A83E9BF9C",1)</f>
        <v>=DISPIMG("ID_8BE85771704E4B638CE1812A83E9BF9C",1)</v>
      </c>
      <c r="L157" s="11" t="str">
        <f>_xlfn.DISPIMG("ID_E0EBC5ADD3B94A19BBB1EF476C80AAD1",1)</f>
        <v>=DISPIMG("ID_E0EBC5ADD3B94A19BBB1EF476C80AAD1",1)</v>
      </c>
    </row>
    <row r="158" ht="409.5" spans="1:12">
      <c r="A158" s="10">
        <v>154</v>
      </c>
      <c r="B158" s="11" t="s">
        <v>15</v>
      </c>
      <c r="C158" s="12" t="s">
        <v>534</v>
      </c>
      <c r="D158" s="12" t="s">
        <v>535</v>
      </c>
      <c r="E158" s="12"/>
      <c r="F158" s="12" t="s">
        <v>536</v>
      </c>
      <c r="G158" s="12" t="s">
        <v>19</v>
      </c>
      <c r="H158" s="12" t="s">
        <v>477</v>
      </c>
      <c r="I158" s="10" t="s">
        <v>21</v>
      </c>
      <c r="J158" s="12" t="s">
        <v>22</v>
      </c>
      <c r="K158" s="15" t="str">
        <f>_xlfn.DISPIMG("ID_2BEFEDC01E3B435A9B8F22AD68658AF5",1)</f>
        <v>=DISPIMG("ID_2BEFEDC01E3B435A9B8F22AD68658AF5",1)</v>
      </c>
      <c r="L158" s="11" t="str">
        <f>_xlfn.DISPIMG("ID_D200FDDAFAF04374909B1B6786937CFE",1)</f>
        <v>=DISPIMG("ID_D200FDDAFAF04374909B1B6786937CFE",1)</v>
      </c>
    </row>
    <row r="159" ht="409.5" spans="1:12">
      <c r="A159" s="10">
        <v>155</v>
      </c>
      <c r="B159" s="11" t="s">
        <v>15</v>
      </c>
      <c r="C159" s="12" t="s">
        <v>537</v>
      </c>
      <c r="D159" s="12" t="s">
        <v>538</v>
      </c>
      <c r="E159" s="12"/>
      <c r="F159" s="12" t="s">
        <v>539</v>
      </c>
      <c r="G159" s="12" t="s">
        <v>19</v>
      </c>
      <c r="H159" s="12" t="s">
        <v>353</v>
      </c>
      <c r="I159" s="10" t="s">
        <v>21</v>
      </c>
      <c r="J159" s="12" t="s">
        <v>22</v>
      </c>
      <c r="K159" s="15" t="str">
        <f>_xlfn.DISPIMG("ID_D4A046798A7B4039BC418E1F41F47A2A",1)</f>
        <v>=DISPIMG("ID_D4A046798A7B4039BC418E1F41F47A2A",1)</v>
      </c>
      <c r="L159" s="11" t="str">
        <f>_xlfn.DISPIMG("ID_2CADFF5F61794BD0BFC7131AC679F7DC",1)</f>
        <v>=DISPIMG("ID_2CADFF5F61794BD0BFC7131AC679F7DC",1)</v>
      </c>
    </row>
    <row r="160" ht="409.5" spans="1:12">
      <c r="A160" s="10">
        <v>156</v>
      </c>
      <c r="B160" s="11" t="s">
        <v>15</v>
      </c>
      <c r="C160" s="12" t="s">
        <v>540</v>
      </c>
      <c r="D160" s="12" t="s">
        <v>541</v>
      </c>
      <c r="E160" s="12"/>
      <c r="F160" s="12" t="s">
        <v>542</v>
      </c>
      <c r="G160" s="12" t="s">
        <v>19</v>
      </c>
      <c r="H160" s="12" t="s">
        <v>353</v>
      </c>
      <c r="I160" s="10" t="s">
        <v>21</v>
      </c>
      <c r="J160" s="12" t="s">
        <v>22</v>
      </c>
      <c r="K160" s="15" t="str">
        <f>_xlfn.DISPIMG("ID_67B590FA17B847F39EE25BCC119F0EB5",1)</f>
        <v>=DISPIMG("ID_67B590FA17B847F39EE25BCC119F0EB5",1)</v>
      </c>
      <c r="L160" s="11" t="str">
        <f>_xlfn.DISPIMG("ID_8344343539B14DA8A7634DFBCEF955A1",1)</f>
        <v>=DISPIMG("ID_8344343539B14DA8A7634DFBCEF955A1",1)</v>
      </c>
    </row>
    <row r="161" ht="409.5" spans="1:12">
      <c r="A161" s="10">
        <v>157</v>
      </c>
      <c r="B161" s="11" t="s">
        <v>15</v>
      </c>
      <c r="C161" s="12" t="s">
        <v>543</v>
      </c>
      <c r="D161" s="12" t="s">
        <v>544</v>
      </c>
      <c r="E161" s="12"/>
      <c r="F161" s="12" t="s">
        <v>545</v>
      </c>
      <c r="G161" s="12" t="s">
        <v>19</v>
      </c>
      <c r="H161" s="12" t="s">
        <v>353</v>
      </c>
      <c r="I161" s="10" t="s">
        <v>21</v>
      </c>
      <c r="J161" s="12" t="s">
        <v>22</v>
      </c>
      <c r="K161" s="15" t="str">
        <f>_xlfn.DISPIMG("ID_30DAA4ECAD7C49F5AD12CDD5F923576D",1)</f>
        <v>=DISPIMG("ID_30DAA4ECAD7C49F5AD12CDD5F923576D",1)</v>
      </c>
      <c r="L161" s="11" t="str">
        <f>_xlfn.DISPIMG("ID_4C6DB858D24A4D6693B52BC918738234",1)</f>
        <v>=DISPIMG("ID_4C6DB858D24A4D6693B52BC918738234",1)</v>
      </c>
    </row>
    <row r="162" ht="409.5" spans="1:12">
      <c r="A162" s="10">
        <v>158</v>
      </c>
      <c r="B162" s="11" t="s">
        <v>15</v>
      </c>
      <c r="C162" s="12" t="s">
        <v>546</v>
      </c>
      <c r="D162" s="12" t="s">
        <v>547</v>
      </c>
      <c r="E162" s="12"/>
      <c r="F162" s="12" t="s">
        <v>548</v>
      </c>
      <c r="G162" s="12" t="s">
        <v>19</v>
      </c>
      <c r="H162" s="12" t="s">
        <v>353</v>
      </c>
      <c r="I162" s="10" t="s">
        <v>21</v>
      </c>
      <c r="J162" s="12" t="s">
        <v>22</v>
      </c>
      <c r="K162" s="15" t="str">
        <f>_xlfn.DISPIMG("ID_B86EDDB228954C50A645FCE0677BFF48",1)</f>
        <v>=DISPIMG("ID_B86EDDB228954C50A645FCE0677BFF48",1)</v>
      </c>
      <c r="L162" s="11" t="str">
        <f>_xlfn.DISPIMG("ID_531117B0DB8D4D968327D2BA9C3EB303",1)</f>
        <v>=DISPIMG("ID_531117B0DB8D4D968327D2BA9C3EB303",1)</v>
      </c>
    </row>
    <row r="163" ht="409.5" spans="1:12">
      <c r="A163" s="10">
        <v>159</v>
      </c>
      <c r="B163" s="11" t="s">
        <v>15</v>
      </c>
      <c r="C163" s="12" t="s">
        <v>549</v>
      </c>
      <c r="D163" s="12" t="s">
        <v>550</v>
      </c>
      <c r="E163" s="12"/>
      <c r="F163" s="12" t="s">
        <v>551</v>
      </c>
      <c r="G163" s="12" t="s">
        <v>19</v>
      </c>
      <c r="H163" s="12" t="s">
        <v>477</v>
      </c>
      <c r="I163" s="10" t="s">
        <v>21</v>
      </c>
      <c r="J163" s="12" t="s">
        <v>22</v>
      </c>
      <c r="K163" s="15" t="str">
        <f>_xlfn.DISPIMG("ID_8A1327CF8F2D46DBB22C2CC1BF576CDD",1)</f>
        <v>=DISPIMG("ID_8A1327CF8F2D46DBB22C2CC1BF576CDD",1)</v>
      </c>
      <c r="L163" s="11" t="str">
        <f>_xlfn.DISPIMG("ID_648484C9A6F643A99E6C5A84FF219837",1)</f>
        <v>=DISPIMG("ID_648484C9A6F643A99E6C5A84FF219837",1)</v>
      </c>
    </row>
    <row r="164" ht="409.5" spans="1:12">
      <c r="A164" s="10">
        <v>160</v>
      </c>
      <c r="B164" s="11" t="s">
        <v>15</v>
      </c>
      <c r="C164" s="12" t="s">
        <v>552</v>
      </c>
      <c r="D164" s="12" t="s">
        <v>553</v>
      </c>
      <c r="E164" s="12"/>
      <c r="F164" s="12" t="s">
        <v>554</v>
      </c>
      <c r="G164" s="12" t="s">
        <v>19</v>
      </c>
      <c r="H164" s="12" t="s">
        <v>555</v>
      </c>
      <c r="I164" s="10" t="s">
        <v>21</v>
      </c>
      <c r="J164" s="12" t="s">
        <v>22</v>
      </c>
      <c r="K164" s="15" t="str">
        <f>_xlfn.DISPIMG("ID_E7D103053E2A49A684AD1B9981A079A2",1)</f>
        <v>=DISPIMG("ID_E7D103053E2A49A684AD1B9981A079A2",1)</v>
      </c>
      <c r="L164" s="11" t="str">
        <f>_xlfn.DISPIMG("ID_FF794D97E6424D0997F0AAAF60BBC718",1)</f>
        <v>=DISPIMG("ID_FF794D97E6424D0997F0AAAF60BBC718",1)</v>
      </c>
    </row>
    <row r="165" ht="409.5" spans="1:12">
      <c r="A165" s="10">
        <v>161</v>
      </c>
      <c r="B165" s="11" t="s">
        <v>15</v>
      </c>
      <c r="C165" s="12" t="s">
        <v>556</v>
      </c>
      <c r="D165" s="12" t="s">
        <v>557</v>
      </c>
      <c r="E165" s="12"/>
      <c r="F165" s="12" t="s">
        <v>558</v>
      </c>
      <c r="G165" s="12" t="s">
        <v>19</v>
      </c>
      <c r="H165" s="12" t="s">
        <v>559</v>
      </c>
      <c r="I165" s="10" t="s">
        <v>21</v>
      </c>
      <c r="J165" s="12" t="s">
        <v>22</v>
      </c>
      <c r="K165" s="15" t="str">
        <f>_xlfn.DISPIMG("ID_38BD6735C2DC4652A3BDC6561EDEBEE3",1)</f>
        <v>=DISPIMG("ID_38BD6735C2DC4652A3BDC6561EDEBEE3",1)</v>
      </c>
      <c r="L165" s="11" t="str">
        <f>_xlfn.DISPIMG("ID_802B72A0F4164E69A26495EA96C7BF51",1)</f>
        <v>=DISPIMG("ID_802B72A0F4164E69A26495EA96C7BF51",1)</v>
      </c>
    </row>
    <row r="166" ht="409.5" spans="1:12">
      <c r="A166" s="10">
        <v>162</v>
      </c>
      <c r="B166" s="11" t="s">
        <v>15</v>
      </c>
      <c r="C166" s="12" t="s">
        <v>560</v>
      </c>
      <c r="D166" s="12" t="s">
        <v>561</v>
      </c>
      <c r="E166" s="12"/>
      <c r="F166" s="12" t="s">
        <v>562</v>
      </c>
      <c r="G166" s="12" t="s">
        <v>19</v>
      </c>
      <c r="H166" s="12" t="s">
        <v>563</v>
      </c>
      <c r="I166" s="10" t="s">
        <v>21</v>
      </c>
      <c r="J166" s="12" t="s">
        <v>22</v>
      </c>
      <c r="K166" s="15" t="str">
        <f>_xlfn.DISPIMG("ID_85BDE0BCD2B84E718797C3C3EE67C122",1)</f>
        <v>=DISPIMG("ID_85BDE0BCD2B84E718797C3C3EE67C122",1)</v>
      </c>
      <c r="L166" s="11" t="str">
        <f>_xlfn.DISPIMG("ID_D37EB21673454A95928F09A44DD68EB8",1)</f>
        <v>=DISPIMG("ID_D37EB21673454A95928F09A44DD68EB8",1)</v>
      </c>
    </row>
    <row r="167" ht="409.5" spans="1:12">
      <c r="A167" s="10">
        <v>163</v>
      </c>
      <c r="B167" s="11" t="s">
        <v>15</v>
      </c>
      <c r="C167" s="12" t="s">
        <v>564</v>
      </c>
      <c r="D167" s="12" t="s">
        <v>565</v>
      </c>
      <c r="E167" s="12"/>
      <c r="F167" s="12" t="s">
        <v>566</v>
      </c>
      <c r="G167" s="12" t="s">
        <v>19</v>
      </c>
      <c r="H167" s="12" t="s">
        <v>563</v>
      </c>
      <c r="I167" s="10" t="s">
        <v>21</v>
      </c>
      <c r="J167" s="12" t="s">
        <v>22</v>
      </c>
      <c r="K167" s="15" t="str">
        <f>_xlfn.DISPIMG("ID_69ED2F3BC3ED4BBD8EE923248E0ED9FD",1)</f>
        <v>=DISPIMG("ID_69ED2F3BC3ED4BBD8EE923248E0ED9FD",1)</v>
      </c>
      <c r="L167" s="11" t="str">
        <f>_xlfn.DISPIMG("ID_437E858CF482497DB5EDA870BE05F04F",1)</f>
        <v>=DISPIMG("ID_437E858CF482497DB5EDA870BE05F04F",1)</v>
      </c>
    </row>
    <row r="168" ht="409.5" spans="1:12">
      <c r="A168" s="10">
        <v>164</v>
      </c>
      <c r="B168" s="11" t="s">
        <v>15</v>
      </c>
      <c r="C168" s="12" t="s">
        <v>567</v>
      </c>
      <c r="D168" s="12" t="s">
        <v>568</v>
      </c>
      <c r="E168" s="12"/>
      <c r="F168" s="12" t="s">
        <v>569</v>
      </c>
      <c r="G168" s="12" t="s">
        <v>19</v>
      </c>
      <c r="H168" s="12" t="s">
        <v>563</v>
      </c>
      <c r="I168" s="10" t="s">
        <v>21</v>
      </c>
      <c r="J168" s="12" t="s">
        <v>22</v>
      </c>
      <c r="K168" s="15" t="str">
        <f>_xlfn.DISPIMG("ID_D61DEAC2CE0541B79CF3EFD20F401A8B",1)</f>
        <v>=DISPIMG("ID_D61DEAC2CE0541B79CF3EFD20F401A8B",1)</v>
      </c>
      <c r="L168" s="11" t="str">
        <f>_xlfn.DISPIMG("ID_33D7092855414A848C158A0443E092E3",1)</f>
        <v>=DISPIMG("ID_33D7092855414A848C158A0443E092E3",1)</v>
      </c>
    </row>
    <row r="169" ht="409.5" spans="1:12">
      <c r="A169" s="10">
        <v>165</v>
      </c>
      <c r="B169" s="11" t="s">
        <v>15</v>
      </c>
      <c r="C169" s="12" t="s">
        <v>570</v>
      </c>
      <c r="D169" s="12" t="s">
        <v>571</v>
      </c>
      <c r="E169" s="12"/>
      <c r="F169" s="12" t="s">
        <v>572</v>
      </c>
      <c r="G169" s="12" t="s">
        <v>19</v>
      </c>
      <c r="H169" s="12" t="s">
        <v>563</v>
      </c>
      <c r="I169" s="10" t="s">
        <v>21</v>
      </c>
      <c r="J169" s="12" t="s">
        <v>22</v>
      </c>
      <c r="K169" s="15" t="str">
        <f>_xlfn.DISPIMG("ID_297AF45D494C49A6B9EF389C0D26207B",1)</f>
        <v>=DISPIMG("ID_297AF45D494C49A6B9EF389C0D26207B",1)</v>
      </c>
      <c r="L169" s="11" t="str">
        <f>_xlfn.DISPIMG("ID_3CBF183CE2444A7CB6CC231A7ECE4657",1)</f>
        <v>=DISPIMG("ID_3CBF183CE2444A7CB6CC231A7ECE4657",1)</v>
      </c>
    </row>
    <row r="170" ht="409.5" spans="1:12">
      <c r="A170" s="10">
        <v>166</v>
      </c>
      <c r="B170" s="11" t="s">
        <v>15</v>
      </c>
      <c r="C170" s="12" t="s">
        <v>573</v>
      </c>
      <c r="D170" s="12" t="s">
        <v>574</v>
      </c>
      <c r="E170" s="12"/>
      <c r="F170" s="12" t="s">
        <v>575</v>
      </c>
      <c r="G170" s="12" t="s">
        <v>19</v>
      </c>
      <c r="H170" s="12" t="s">
        <v>212</v>
      </c>
      <c r="I170" s="10" t="s">
        <v>21</v>
      </c>
      <c r="J170" s="12" t="s">
        <v>22</v>
      </c>
      <c r="K170" s="15" t="str">
        <f>_xlfn.DISPIMG("ID_51EF24BEB239436E8887AD008F7DAE38",1)</f>
        <v>=DISPIMG("ID_51EF24BEB239436E8887AD008F7DAE38",1)</v>
      </c>
      <c r="L170" s="11" t="str">
        <f>_xlfn.DISPIMG("ID_24223D7B969646ECA121C527F955458D",1)</f>
        <v>=DISPIMG("ID_24223D7B969646ECA121C527F955458D",1)</v>
      </c>
    </row>
    <row r="171" ht="409.5" spans="1:12">
      <c r="A171" s="10">
        <v>167</v>
      </c>
      <c r="B171" s="11" t="s">
        <v>15</v>
      </c>
      <c r="C171" s="12" t="s">
        <v>576</v>
      </c>
      <c r="D171" s="12" t="s">
        <v>577</v>
      </c>
      <c r="E171" s="12"/>
      <c r="F171" s="12" t="s">
        <v>578</v>
      </c>
      <c r="G171" s="12" t="s">
        <v>19</v>
      </c>
      <c r="H171" s="12" t="s">
        <v>212</v>
      </c>
      <c r="I171" s="10" t="s">
        <v>21</v>
      </c>
      <c r="J171" s="12" t="s">
        <v>22</v>
      </c>
      <c r="K171" s="15" t="str">
        <f>_xlfn.DISPIMG("ID_A3F984CF4021489BAE984FE2B2557803",1)</f>
        <v>=DISPIMG("ID_A3F984CF4021489BAE984FE2B2557803",1)</v>
      </c>
      <c r="L171" s="11" t="str">
        <f>_xlfn.DISPIMG("ID_DFCA1B3F35894BF4A5CF3A191D50A37F",1)</f>
        <v>=DISPIMG("ID_DFCA1B3F35894BF4A5CF3A191D50A37F",1)</v>
      </c>
    </row>
    <row r="172" ht="409.5" spans="1:12">
      <c r="A172" s="10">
        <v>168</v>
      </c>
      <c r="B172" s="11" t="s">
        <v>15</v>
      </c>
      <c r="C172" s="12" t="s">
        <v>579</v>
      </c>
      <c r="D172" s="12" t="s">
        <v>580</v>
      </c>
      <c r="E172" s="12"/>
      <c r="F172" s="12" t="s">
        <v>581</v>
      </c>
      <c r="G172" s="12" t="s">
        <v>19</v>
      </c>
      <c r="H172" s="12" t="s">
        <v>582</v>
      </c>
      <c r="I172" s="10" t="s">
        <v>21</v>
      </c>
      <c r="J172" s="12" t="s">
        <v>22</v>
      </c>
      <c r="K172" s="15" t="str">
        <f>_xlfn.DISPIMG("ID_C7A4A5496A55465C96FE166F8580DB0F",1)</f>
        <v>=DISPIMG("ID_C7A4A5496A55465C96FE166F8580DB0F",1)</v>
      </c>
      <c r="L172" s="11" t="str">
        <f>_xlfn.DISPIMG("ID_44136365BBF64412A2254296E50AC48F",1)</f>
        <v>=DISPIMG("ID_44136365BBF64412A2254296E50AC48F",1)</v>
      </c>
    </row>
    <row r="173" ht="409.5" spans="1:12">
      <c r="A173" s="10">
        <v>169</v>
      </c>
      <c r="B173" s="11" t="s">
        <v>15</v>
      </c>
      <c r="C173" s="12" t="s">
        <v>583</v>
      </c>
      <c r="D173" s="12" t="s">
        <v>584</v>
      </c>
      <c r="E173" s="12"/>
      <c r="F173" s="12" t="s">
        <v>585</v>
      </c>
      <c r="G173" s="12" t="s">
        <v>19</v>
      </c>
      <c r="H173" s="12" t="s">
        <v>586</v>
      </c>
      <c r="I173" s="10" t="s">
        <v>21</v>
      </c>
      <c r="J173" s="12" t="s">
        <v>22</v>
      </c>
      <c r="K173" s="15" t="str">
        <f>_xlfn.DISPIMG("ID_EDB3D79B13764A5D90C95A5F52ED04B4",1)</f>
        <v>=DISPIMG("ID_EDB3D79B13764A5D90C95A5F52ED04B4",1)</v>
      </c>
      <c r="L173" s="11" t="str">
        <f>_xlfn.DISPIMG("ID_BA7D85A0C5A34285A7826AE9040BB8EC",1)</f>
        <v>=DISPIMG("ID_BA7D85A0C5A34285A7826AE9040BB8EC",1)</v>
      </c>
    </row>
    <row r="174" ht="409.5" spans="1:12">
      <c r="A174" s="10">
        <v>170</v>
      </c>
      <c r="B174" s="11" t="s">
        <v>15</v>
      </c>
      <c r="C174" s="12" t="s">
        <v>587</v>
      </c>
      <c r="D174" s="12" t="s">
        <v>588</v>
      </c>
      <c r="E174" s="12"/>
      <c r="F174" s="12" t="s">
        <v>589</v>
      </c>
      <c r="G174" s="12" t="s">
        <v>19</v>
      </c>
      <c r="H174" s="12" t="s">
        <v>590</v>
      </c>
      <c r="I174" s="10" t="s">
        <v>21</v>
      </c>
      <c r="J174" s="12" t="s">
        <v>22</v>
      </c>
      <c r="K174" s="15" t="str">
        <f>_xlfn.DISPIMG("ID_60630B19D12945F5BF23875D573A5AFF",1)</f>
        <v>=DISPIMG("ID_60630B19D12945F5BF23875D573A5AFF",1)</v>
      </c>
      <c r="L174" s="11" t="str">
        <f>_xlfn.DISPIMG("ID_A3EDBD1C54BE4B93ABFBE3F2E59BF92D",1)</f>
        <v>=DISPIMG("ID_A3EDBD1C54BE4B93ABFBE3F2E59BF92D",1)</v>
      </c>
    </row>
    <row r="175" ht="409.5" spans="1:12">
      <c r="A175" s="10">
        <v>171</v>
      </c>
      <c r="B175" s="11" t="s">
        <v>15</v>
      </c>
      <c r="C175" s="12" t="s">
        <v>591</v>
      </c>
      <c r="D175" s="12" t="s">
        <v>592</v>
      </c>
      <c r="E175" s="12"/>
      <c r="F175" s="12" t="s">
        <v>593</v>
      </c>
      <c r="G175" s="12" t="s">
        <v>19</v>
      </c>
      <c r="H175" s="12" t="s">
        <v>212</v>
      </c>
      <c r="I175" s="10" t="s">
        <v>21</v>
      </c>
      <c r="J175" s="12" t="s">
        <v>22</v>
      </c>
      <c r="K175" s="15" t="str">
        <f>_xlfn.DISPIMG("ID_661AC32B612143529505EF870EF83BD6",1)</f>
        <v>=DISPIMG("ID_661AC32B612143529505EF870EF83BD6",1)</v>
      </c>
      <c r="L175" s="11" t="str">
        <f>_xlfn.DISPIMG("ID_40E92AFF10BA4CA0B27AE1D4C24E522D",1)</f>
        <v>=DISPIMG("ID_40E92AFF10BA4CA0B27AE1D4C24E522D",1)</v>
      </c>
    </row>
    <row r="176" ht="409.5" spans="1:12">
      <c r="A176" s="10">
        <v>172</v>
      </c>
      <c r="B176" s="11" t="s">
        <v>15</v>
      </c>
      <c r="C176" s="12" t="s">
        <v>594</v>
      </c>
      <c r="D176" s="12" t="s">
        <v>595</v>
      </c>
      <c r="E176" s="12"/>
      <c r="F176" s="12" t="s">
        <v>596</v>
      </c>
      <c r="G176" s="12" t="s">
        <v>19</v>
      </c>
      <c r="H176" s="12" t="s">
        <v>212</v>
      </c>
      <c r="I176" s="10" t="s">
        <v>21</v>
      </c>
      <c r="J176" s="12" t="s">
        <v>22</v>
      </c>
      <c r="K176" s="15" t="str">
        <f>_xlfn.DISPIMG("ID_AE10F1DA88ED416CB5C10C5643748751",1)</f>
        <v>=DISPIMG("ID_AE10F1DA88ED416CB5C10C5643748751",1)</v>
      </c>
      <c r="L176" s="11" t="str">
        <f>_xlfn.DISPIMG("ID_CD444DBFCFEA47C5A8C3F9B31EF9C2FE",1)</f>
        <v>=DISPIMG("ID_CD444DBFCFEA47C5A8C3F9B31EF9C2FE",1)</v>
      </c>
    </row>
    <row r="177" ht="409.5" spans="1:12">
      <c r="A177" s="10">
        <v>173</v>
      </c>
      <c r="B177" s="11" t="s">
        <v>15</v>
      </c>
      <c r="C177" s="12" t="s">
        <v>597</v>
      </c>
      <c r="D177" s="12" t="s">
        <v>598</v>
      </c>
      <c r="E177" s="12"/>
      <c r="F177" s="12" t="s">
        <v>599</v>
      </c>
      <c r="G177" s="12" t="s">
        <v>19</v>
      </c>
      <c r="H177" s="12" t="s">
        <v>600</v>
      </c>
      <c r="I177" s="10" t="s">
        <v>21</v>
      </c>
      <c r="J177" s="12" t="s">
        <v>22</v>
      </c>
      <c r="K177" s="15" t="str">
        <f>_xlfn.DISPIMG("ID_F81635C469674C8AB6572C85A9919947",1)</f>
        <v>=DISPIMG("ID_F81635C469674C8AB6572C85A9919947",1)</v>
      </c>
      <c r="L177" s="11" t="str">
        <f>_xlfn.DISPIMG("ID_0C3BA9E8F7B540399096A7C9ABED98D7",1)</f>
        <v>=DISPIMG("ID_0C3BA9E8F7B540399096A7C9ABED98D7",1)</v>
      </c>
    </row>
    <row r="178" ht="409.5" spans="1:12">
      <c r="A178" s="10">
        <v>174</v>
      </c>
      <c r="B178" s="11" t="s">
        <v>15</v>
      </c>
      <c r="C178" s="12" t="s">
        <v>601</v>
      </c>
      <c r="D178" s="12" t="s">
        <v>602</v>
      </c>
      <c r="E178" s="12"/>
      <c r="F178" s="12" t="s">
        <v>603</v>
      </c>
      <c r="G178" s="12" t="s">
        <v>19</v>
      </c>
      <c r="H178" s="12" t="s">
        <v>604</v>
      </c>
      <c r="I178" s="10" t="s">
        <v>21</v>
      </c>
      <c r="J178" s="12" t="s">
        <v>22</v>
      </c>
      <c r="K178" s="15" t="str">
        <f>_xlfn.DISPIMG("ID_94E992B771CC4BC980A42F901908A7AD",1)</f>
        <v>=DISPIMG("ID_94E992B771CC4BC980A42F901908A7AD",1)</v>
      </c>
      <c r="L178" s="11" t="str">
        <f>_xlfn.DISPIMG("ID_B024C90CCCC44A519AEFE8EFAB28CDDB",1)</f>
        <v>=DISPIMG("ID_B024C90CCCC44A519AEFE8EFAB28CDDB",1)</v>
      </c>
    </row>
    <row r="179" ht="409.5" spans="1:12">
      <c r="A179" s="10">
        <v>175</v>
      </c>
      <c r="B179" s="11" t="s">
        <v>15</v>
      </c>
      <c r="C179" s="12" t="s">
        <v>605</v>
      </c>
      <c r="D179" s="12" t="s">
        <v>606</v>
      </c>
      <c r="E179" s="12"/>
      <c r="F179" s="12" t="s">
        <v>607</v>
      </c>
      <c r="G179" s="12" t="s">
        <v>19</v>
      </c>
      <c r="H179" s="12" t="s">
        <v>608</v>
      </c>
      <c r="I179" s="10" t="s">
        <v>21</v>
      </c>
      <c r="J179" s="12" t="s">
        <v>22</v>
      </c>
      <c r="K179" s="15" t="str">
        <f>_xlfn.DISPIMG("ID_FDC44E3E4E374129948ABA50D3A3D9A5",1)</f>
        <v>=DISPIMG("ID_FDC44E3E4E374129948ABA50D3A3D9A5",1)</v>
      </c>
      <c r="L179" s="11" t="str">
        <f>_xlfn.DISPIMG("ID_87C975D419704D6BAE1A1428D5C89893",1)</f>
        <v>=DISPIMG("ID_87C975D419704D6BAE1A1428D5C89893",1)</v>
      </c>
    </row>
    <row r="180" ht="409.5" spans="1:12">
      <c r="A180" s="10">
        <v>176</v>
      </c>
      <c r="B180" s="11" t="s">
        <v>15</v>
      </c>
      <c r="C180" s="12" t="s">
        <v>609</v>
      </c>
      <c r="D180" s="12" t="s">
        <v>610</v>
      </c>
      <c r="E180" s="12"/>
      <c r="F180" s="12" t="s">
        <v>611</v>
      </c>
      <c r="G180" s="12" t="s">
        <v>19</v>
      </c>
      <c r="H180" s="12" t="s">
        <v>212</v>
      </c>
      <c r="I180" s="10" t="s">
        <v>21</v>
      </c>
      <c r="J180" s="12" t="s">
        <v>22</v>
      </c>
      <c r="K180" s="15" t="str">
        <f>_xlfn.DISPIMG("ID_D6ADD57D50B74DAB8916BD9A51452D76",1)</f>
        <v>=DISPIMG("ID_D6ADD57D50B74DAB8916BD9A51452D76",1)</v>
      </c>
      <c r="L180" s="11" t="str">
        <f>_xlfn.DISPIMG("ID_15124C29F0D641AF98231E6A5737C467",1)</f>
        <v>=DISPIMG("ID_15124C29F0D641AF98231E6A5737C467",1)</v>
      </c>
    </row>
    <row r="181" ht="409.5" spans="1:12">
      <c r="A181" s="10">
        <v>177</v>
      </c>
      <c r="B181" s="11" t="s">
        <v>15</v>
      </c>
      <c r="C181" s="12" t="s">
        <v>612</v>
      </c>
      <c r="D181" s="12" t="s">
        <v>613</v>
      </c>
      <c r="E181" s="12"/>
      <c r="F181" s="12" t="s">
        <v>614</v>
      </c>
      <c r="G181" s="12" t="s">
        <v>19</v>
      </c>
      <c r="H181" s="12" t="s">
        <v>212</v>
      </c>
      <c r="I181" s="10" t="s">
        <v>21</v>
      </c>
      <c r="J181" s="12" t="s">
        <v>22</v>
      </c>
      <c r="K181" s="15" t="str">
        <f>_xlfn.DISPIMG("ID_D6F8C0396AAB4C9FAA92E3E3B2CC3B95",1)</f>
        <v>=DISPIMG("ID_D6F8C0396AAB4C9FAA92E3E3B2CC3B95",1)</v>
      </c>
      <c r="L181" s="11" t="str">
        <f>_xlfn.DISPIMG("ID_F3E9FDA420BF4B95B09E1E87D9E1EF02",1)</f>
        <v>=DISPIMG("ID_F3E9FDA420BF4B95B09E1E87D9E1EF02",1)</v>
      </c>
    </row>
    <row r="182" ht="409.5" spans="1:12">
      <c r="A182" s="10">
        <v>178</v>
      </c>
      <c r="B182" s="11" t="s">
        <v>15</v>
      </c>
      <c r="C182" s="12" t="s">
        <v>615</v>
      </c>
      <c r="D182" s="12" t="s">
        <v>616</v>
      </c>
      <c r="E182" s="12"/>
      <c r="F182" s="12" t="s">
        <v>617</v>
      </c>
      <c r="G182" s="12" t="s">
        <v>19</v>
      </c>
      <c r="H182" s="12" t="s">
        <v>212</v>
      </c>
      <c r="I182" s="10" t="s">
        <v>21</v>
      </c>
      <c r="J182" s="12" t="s">
        <v>22</v>
      </c>
      <c r="K182" s="15" t="str">
        <f>_xlfn.DISPIMG("ID_AE96084FD59F4F30ADFFE3630BD30B4D",1)</f>
        <v>=DISPIMG("ID_AE96084FD59F4F30ADFFE3630BD30B4D",1)</v>
      </c>
      <c r="L182" s="11" t="str">
        <f>_xlfn.DISPIMG("ID_FF824ADA8E7645CEBF2D4F8D60C91444",1)</f>
        <v>=DISPIMG("ID_FF824ADA8E7645CEBF2D4F8D60C91444",1)</v>
      </c>
    </row>
    <row r="183" ht="409.5" spans="1:12">
      <c r="A183" s="10">
        <v>179</v>
      </c>
      <c r="B183" s="11" t="s">
        <v>15</v>
      </c>
      <c r="C183" s="12" t="s">
        <v>618</v>
      </c>
      <c r="D183" s="12" t="s">
        <v>619</v>
      </c>
      <c r="E183" s="12"/>
      <c r="F183" s="12" t="s">
        <v>620</v>
      </c>
      <c r="G183" s="12" t="s">
        <v>19</v>
      </c>
      <c r="H183" s="12" t="s">
        <v>621</v>
      </c>
      <c r="I183" s="10" t="s">
        <v>21</v>
      </c>
      <c r="J183" s="12" t="s">
        <v>22</v>
      </c>
      <c r="K183" s="15" t="str">
        <f>_xlfn.DISPIMG("ID_27580B2071504025A61FD1C8349099F4",1)</f>
        <v>=DISPIMG("ID_27580B2071504025A61FD1C8349099F4",1)</v>
      </c>
      <c r="L183" s="11" t="str">
        <f>_xlfn.DISPIMG("ID_7CF137D83F614517BEE0B616B68233D3",1)</f>
        <v>=DISPIMG("ID_7CF137D83F614517BEE0B616B68233D3",1)</v>
      </c>
    </row>
    <row r="184" ht="409.5" spans="1:12">
      <c r="A184" s="10">
        <v>180</v>
      </c>
      <c r="B184" s="11" t="s">
        <v>15</v>
      </c>
      <c r="C184" s="12" t="s">
        <v>622</v>
      </c>
      <c r="D184" s="12" t="s">
        <v>623</v>
      </c>
      <c r="E184" s="12"/>
      <c r="F184" s="12" t="s">
        <v>624</v>
      </c>
      <c r="G184" s="12" t="s">
        <v>19</v>
      </c>
      <c r="H184" s="12" t="s">
        <v>586</v>
      </c>
      <c r="I184" s="10" t="s">
        <v>21</v>
      </c>
      <c r="J184" s="12" t="s">
        <v>22</v>
      </c>
      <c r="K184" s="15" t="str">
        <f>_xlfn.DISPIMG("ID_237FA5110B7F4A29AE93015B2C4B3B69",1)</f>
        <v>=DISPIMG("ID_237FA5110B7F4A29AE93015B2C4B3B69",1)</v>
      </c>
      <c r="L184" s="11" t="str">
        <f>_xlfn.DISPIMG("ID_D6E74D2AE53643D38E42558E97F509D5",1)</f>
        <v>=DISPIMG("ID_D6E74D2AE53643D38E42558E97F509D5",1)</v>
      </c>
    </row>
    <row r="185" ht="409.5" spans="1:12">
      <c r="A185" s="10">
        <v>181</v>
      </c>
      <c r="B185" s="11" t="s">
        <v>15</v>
      </c>
      <c r="C185" s="12" t="s">
        <v>625</v>
      </c>
      <c r="D185" s="12" t="s">
        <v>626</v>
      </c>
      <c r="E185" s="12"/>
      <c r="F185" s="12" t="s">
        <v>627</v>
      </c>
      <c r="G185" s="12" t="s">
        <v>19</v>
      </c>
      <c r="H185" s="12" t="s">
        <v>212</v>
      </c>
      <c r="I185" s="10" t="s">
        <v>21</v>
      </c>
      <c r="J185" s="12" t="s">
        <v>22</v>
      </c>
      <c r="K185" s="15" t="str">
        <f>_xlfn.DISPIMG("ID_4C1AC41770B64424A4FA07EF8A58A5B4",1)</f>
        <v>=DISPIMG("ID_4C1AC41770B64424A4FA07EF8A58A5B4",1)</v>
      </c>
      <c r="L185" s="11" t="str">
        <f>_xlfn.DISPIMG("ID_04F42BC2984C469F8BD0433C228C5109",1)</f>
        <v>=DISPIMG("ID_04F42BC2984C469F8BD0433C228C5109",1)</v>
      </c>
    </row>
    <row r="186" ht="409.5" spans="1:12">
      <c r="A186" s="10">
        <v>182</v>
      </c>
      <c r="B186" s="11" t="s">
        <v>15</v>
      </c>
      <c r="C186" s="12" t="s">
        <v>628</v>
      </c>
      <c r="D186" s="12" t="s">
        <v>629</v>
      </c>
      <c r="E186" s="12"/>
      <c r="F186" s="12" t="s">
        <v>630</v>
      </c>
      <c r="G186" s="12" t="s">
        <v>19</v>
      </c>
      <c r="H186" s="12" t="s">
        <v>212</v>
      </c>
      <c r="I186" s="10" t="s">
        <v>21</v>
      </c>
      <c r="J186" s="12" t="s">
        <v>22</v>
      </c>
      <c r="K186" s="15" t="str">
        <f>_xlfn.DISPIMG("ID_9D857286B4364F4E94353FD853D98F7A",1)</f>
        <v>=DISPIMG("ID_9D857286B4364F4E94353FD853D98F7A",1)</v>
      </c>
      <c r="L186" s="11" t="str">
        <f>_xlfn.DISPIMG("ID_3F8491B3F5CD4BB7A53BC566D589745A",1)</f>
        <v>=DISPIMG("ID_3F8491B3F5CD4BB7A53BC566D589745A",1)</v>
      </c>
    </row>
    <row r="187" ht="409.5" spans="1:12">
      <c r="A187" s="10">
        <v>183</v>
      </c>
      <c r="B187" s="11" t="s">
        <v>15</v>
      </c>
      <c r="C187" s="12" t="s">
        <v>631</v>
      </c>
      <c r="D187" s="12" t="s">
        <v>632</v>
      </c>
      <c r="E187" s="12"/>
      <c r="F187" s="12" t="s">
        <v>633</v>
      </c>
      <c r="G187" s="12" t="s">
        <v>19</v>
      </c>
      <c r="H187" s="12" t="s">
        <v>212</v>
      </c>
      <c r="I187" s="10" t="s">
        <v>21</v>
      </c>
      <c r="J187" s="12" t="s">
        <v>22</v>
      </c>
      <c r="K187" s="15" t="str">
        <f>_xlfn.DISPIMG("ID_8F2A5086CBD547C9B3327B3D77A12B91",1)</f>
        <v>=DISPIMG("ID_8F2A5086CBD547C9B3327B3D77A12B91",1)</v>
      </c>
      <c r="L187" s="11" t="str">
        <f>_xlfn.DISPIMG("ID_B4630AFDA2D4498599731A4C5248AAE6",1)</f>
        <v>=DISPIMG("ID_B4630AFDA2D4498599731A4C5248AAE6",1)</v>
      </c>
    </row>
    <row r="188" ht="409.5" spans="1:12">
      <c r="A188" s="10">
        <v>184</v>
      </c>
      <c r="B188" s="11" t="s">
        <v>15</v>
      </c>
      <c r="C188" s="12" t="s">
        <v>634</v>
      </c>
      <c r="D188" s="12" t="s">
        <v>635</v>
      </c>
      <c r="E188" s="12"/>
      <c r="F188" s="12" t="s">
        <v>585</v>
      </c>
      <c r="G188" s="12" t="s">
        <v>19</v>
      </c>
      <c r="H188" s="12" t="s">
        <v>636</v>
      </c>
      <c r="I188" s="10" t="s">
        <v>21</v>
      </c>
      <c r="J188" s="12" t="s">
        <v>22</v>
      </c>
      <c r="K188" s="15" t="str">
        <f>_xlfn.DISPIMG("ID_855F036F42A74C3683F0C426AF7200CA",1)</f>
        <v>=DISPIMG("ID_855F036F42A74C3683F0C426AF7200CA",1)</v>
      </c>
      <c r="L188" s="11" t="str">
        <f>_xlfn.DISPIMG("ID_5502964FF4D54838A983C70756C5151E",1)</f>
        <v>=DISPIMG("ID_5502964FF4D54838A983C70756C5151E",1)</v>
      </c>
    </row>
    <row r="189" ht="409.5" spans="1:12">
      <c r="A189" s="10">
        <v>185</v>
      </c>
      <c r="B189" s="11" t="s">
        <v>15</v>
      </c>
      <c r="C189" s="12" t="s">
        <v>637</v>
      </c>
      <c r="D189" s="12" t="s">
        <v>638</v>
      </c>
      <c r="E189" s="12"/>
      <c r="F189" s="12" t="s">
        <v>639</v>
      </c>
      <c r="G189" s="12" t="s">
        <v>19</v>
      </c>
      <c r="H189" s="12" t="s">
        <v>212</v>
      </c>
      <c r="I189" s="10" t="s">
        <v>21</v>
      </c>
      <c r="J189" s="12" t="s">
        <v>22</v>
      </c>
      <c r="K189" s="15" t="str">
        <f>_xlfn.DISPIMG("ID_1F85341B355B44FC877B2435C246BB07",1)</f>
        <v>=DISPIMG("ID_1F85341B355B44FC877B2435C246BB07",1)</v>
      </c>
      <c r="L189" s="11" t="str">
        <f>_xlfn.DISPIMG("ID_9545FDCFCBE04F5E93E585F6AEB2C6BB",1)</f>
        <v>=DISPIMG("ID_9545FDCFCBE04F5E93E585F6AEB2C6BB",1)</v>
      </c>
    </row>
    <row r="190" ht="409.5" spans="1:12">
      <c r="A190" s="10">
        <v>186</v>
      </c>
      <c r="B190" s="11" t="s">
        <v>15</v>
      </c>
      <c r="C190" s="12" t="s">
        <v>640</v>
      </c>
      <c r="D190" s="12" t="s">
        <v>641</v>
      </c>
      <c r="E190" s="12"/>
      <c r="F190" s="12" t="s">
        <v>642</v>
      </c>
      <c r="G190" s="12" t="s">
        <v>19</v>
      </c>
      <c r="H190" s="12" t="s">
        <v>212</v>
      </c>
      <c r="I190" s="10" t="s">
        <v>21</v>
      </c>
      <c r="J190" s="12" t="s">
        <v>22</v>
      </c>
      <c r="K190" s="15" t="str">
        <f>_xlfn.DISPIMG("ID_6BEA8AF786BF4FB9A8F19B24B3464FC6",1)</f>
        <v>=DISPIMG("ID_6BEA8AF786BF4FB9A8F19B24B3464FC6",1)</v>
      </c>
      <c r="L190" s="11" t="str">
        <f>_xlfn.DISPIMG("ID_F5B72C72920543A5BA533C01F0EA1BCF",1)</f>
        <v>=DISPIMG("ID_F5B72C72920543A5BA533C01F0EA1BCF",1)</v>
      </c>
    </row>
    <row r="191" ht="409.5" spans="1:12">
      <c r="A191" s="10">
        <v>187</v>
      </c>
      <c r="B191" s="11" t="s">
        <v>15</v>
      </c>
      <c r="C191" s="12" t="s">
        <v>643</v>
      </c>
      <c r="D191" s="12" t="s">
        <v>644</v>
      </c>
      <c r="E191" s="12"/>
      <c r="F191" s="12" t="s">
        <v>645</v>
      </c>
      <c r="G191" s="12" t="s">
        <v>19</v>
      </c>
      <c r="H191" s="12" t="s">
        <v>212</v>
      </c>
      <c r="I191" s="10" t="s">
        <v>21</v>
      </c>
      <c r="J191" s="12" t="s">
        <v>22</v>
      </c>
      <c r="K191" s="15" t="str">
        <f>_xlfn.DISPIMG("ID_63F1E67637CE4E72B0183F296B7C93E4",1)</f>
        <v>=DISPIMG("ID_63F1E67637CE4E72B0183F296B7C93E4",1)</v>
      </c>
      <c r="L191" s="11" t="str">
        <f>_xlfn.DISPIMG("ID_8BCA8C0506B1484DB990E628FA185AE2",1)</f>
        <v>=DISPIMG("ID_8BCA8C0506B1484DB990E628FA185AE2",1)</v>
      </c>
    </row>
    <row r="192" ht="409.5" spans="1:12">
      <c r="A192" s="10">
        <v>188</v>
      </c>
      <c r="B192" s="11" t="s">
        <v>15</v>
      </c>
      <c r="C192" s="12" t="s">
        <v>646</v>
      </c>
      <c r="D192" s="12" t="s">
        <v>647</v>
      </c>
      <c r="E192" s="12"/>
      <c r="F192" s="12" t="s">
        <v>648</v>
      </c>
      <c r="G192" s="12" t="s">
        <v>19</v>
      </c>
      <c r="H192" s="12" t="s">
        <v>212</v>
      </c>
      <c r="I192" s="10" t="s">
        <v>21</v>
      </c>
      <c r="J192" s="12" t="s">
        <v>22</v>
      </c>
      <c r="K192" s="15" t="str">
        <f>_xlfn.DISPIMG("ID_1E5F058409994E53909F031DA5337850",1)</f>
        <v>=DISPIMG("ID_1E5F058409994E53909F031DA5337850",1)</v>
      </c>
      <c r="L192" s="11" t="str">
        <f>_xlfn.DISPIMG("ID_499EEA3DD487417893C515D11F97745C",1)</f>
        <v>=DISPIMG("ID_499EEA3DD487417893C515D11F97745C",1)</v>
      </c>
    </row>
    <row r="193" ht="409.5" spans="1:12">
      <c r="A193" s="10">
        <v>189</v>
      </c>
      <c r="B193" s="11" t="s">
        <v>15</v>
      </c>
      <c r="C193" s="12" t="s">
        <v>649</v>
      </c>
      <c r="D193" s="12" t="s">
        <v>650</v>
      </c>
      <c r="E193" s="12"/>
      <c r="F193" s="12" t="s">
        <v>645</v>
      </c>
      <c r="G193" s="12" t="s">
        <v>19</v>
      </c>
      <c r="H193" s="12" t="s">
        <v>212</v>
      </c>
      <c r="I193" s="10" t="s">
        <v>21</v>
      </c>
      <c r="J193" s="12" t="s">
        <v>22</v>
      </c>
      <c r="K193" s="15" t="str">
        <f>_xlfn.DISPIMG("ID_F5F5CB5956694CED8DC3552F92024A60",1)</f>
        <v>=DISPIMG("ID_F5F5CB5956694CED8DC3552F92024A60",1)</v>
      </c>
      <c r="L193" s="11" t="str">
        <f>_xlfn.DISPIMG("ID_4937D5B94EC5407893B8BB1FA86669C0",1)</f>
        <v>=DISPIMG("ID_4937D5B94EC5407893B8BB1FA86669C0",1)</v>
      </c>
    </row>
    <row r="194" ht="409.5" spans="1:12">
      <c r="A194" s="10">
        <v>190</v>
      </c>
      <c r="B194" s="11" t="s">
        <v>15</v>
      </c>
      <c r="C194" s="12" t="s">
        <v>651</v>
      </c>
      <c r="D194" s="12" t="s">
        <v>652</v>
      </c>
      <c r="E194" s="12"/>
      <c r="F194" s="12" t="s">
        <v>653</v>
      </c>
      <c r="G194" s="12" t="s">
        <v>19</v>
      </c>
      <c r="H194" s="12" t="s">
        <v>654</v>
      </c>
      <c r="I194" s="10" t="s">
        <v>21</v>
      </c>
      <c r="J194" s="12" t="s">
        <v>22</v>
      </c>
      <c r="K194" s="15" t="str">
        <f>_xlfn.DISPIMG("ID_16AF1C796B4945CAA2EF4B3CB4273A47",1)</f>
        <v>=DISPIMG("ID_16AF1C796B4945CAA2EF4B3CB4273A47",1)</v>
      </c>
      <c r="L194" s="11" t="str">
        <f>_xlfn.DISPIMG("ID_577995B0C3EE4A9695C692E69706DCBD",1)</f>
        <v>=DISPIMG("ID_577995B0C3EE4A9695C692E69706DCBD",1)</v>
      </c>
    </row>
    <row r="195" ht="409.5" spans="1:12">
      <c r="A195" s="10">
        <v>191</v>
      </c>
      <c r="B195" s="11" t="s">
        <v>15</v>
      </c>
      <c r="C195" s="12" t="s">
        <v>655</v>
      </c>
      <c r="D195" s="12" t="s">
        <v>656</v>
      </c>
      <c r="E195" s="12"/>
      <c r="F195" s="12" t="s">
        <v>657</v>
      </c>
      <c r="G195" s="12" t="s">
        <v>19</v>
      </c>
      <c r="H195" s="12" t="s">
        <v>658</v>
      </c>
      <c r="I195" s="10" t="s">
        <v>21</v>
      </c>
      <c r="J195" s="12" t="s">
        <v>22</v>
      </c>
      <c r="K195" s="15" t="str">
        <f>_xlfn.DISPIMG("ID_5A167188F9E44DAC92F40EDAF5556675",1)</f>
        <v>=DISPIMG("ID_5A167188F9E44DAC92F40EDAF5556675",1)</v>
      </c>
      <c r="L195" s="11" t="str">
        <f>_xlfn.DISPIMG("ID_40FE7180D466420498A1C5CB8559014B",1)</f>
        <v>=DISPIMG("ID_40FE7180D466420498A1C5CB8559014B",1)</v>
      </c>
    </row>
    <row r="196" ht="409.5" spans="1:12">
      <c r="A196" s="10">
        <v>192</v>
      </c>
      <c r="B196" s="11" t="s">
        <v>15</v>
      </c>
      <c r="C196" s="12" t="s">
        <v>659</v>
      </c>
      <c r="D196" s="12" t="s">
        <v>660</v>
      </c>
      <c r="E196" s="12"/>
      <c r="F196" s="12" t="s">
        <v>661</v>
      </c>
      <c r="G196" s="12" t="s">
        <v>19</v>
      </c>
      <c r="H196" s="12" t="s">
        <v>654</v>
      </c>
      <c r="I196" s="10" t="s">
        <v>21</v>
      </c>
      <c r="J196" s="12" t="s">
        <v>22</v>
      </c>
      <c r="K196" s="15" t="str">
        <f>_xlfn.DISPIMG("ID_B78B8195570F43898FED26AE3106781E",1)</f>
        <v>=DISPIMG("ID_B78B8195570F43898FED26AE3106781E",1)</v>
      </c>
      <c r="L196" s="11" t="str">
        <f>_xlfn.DISPIMG("ID_E4AF08A47F7F4DE5B699A1927348BF5B",1)</f>
        <v>=DISPIMG("ID_E4AF08A47F7F4DE5B699A1927348BF5B",1)</v>
      </c>
    </row>
    <row r="197" ht="409.5" spans="1:12">
      <c r="A197" s="10">
        <v>193</v>
      </c>
      <c r="B197" s="11" t="s">
        <v>15</v>
      </c>
      <c r="C197" s="12" t="s">
        <v>662</v>
      </c>
      <c r="D197" s="12" t="s">
        <v>663</v>
      </c>
      <c r="E197" s="12"/>
      <c r="F197" s="12" t="s">
        <v>664</v>
      </c>
      <c r="G197" s="12" t="s">
        <v>19</v>
      </c>
      <c r="H197" s="12" t="s">
        <v>665</v>
      </c>
      <c r="I197" s="10" t="s">
        <v>21</v>
      </c>
      <c r="J197" s="12" t="s">
        <v>22</v>
      </c>
      <c r="K197" s="15" t="str">
        <f>_xlfn.DISPIMG("ID_2E5D6D3069E849CAB7DD9862398E425A",1)</f>
        <v>=DISPIMG("ID_2E5D6D3069E849CAB7DD9862398E425A",1)</v>
      </c>
      <c r="L197" s="11" t="str">
        <f>_xlfn.DISPIMG("ID_B14FFC4765664F56A0F3E5D85B627D66",1)</f>
        <v>=DISPIMG("ID_B14FFC4765664F56A0F3E5D85B627D66",1)</v>
      </c>
    </row>
    <row r="198" ht="409.5" spans="1:12">
      <c r="A198" s="10">
        <v>194</v>
      </c>
      <c r="B198" s="11" t="s">
        <v>15</v>
      </c>
      <c r="C198" s="12" t="s">
        <v>666</v>
      </c>
      <c r="D198" s="12" t="s">
        <v>667</v>
      </c>
      <c r="E198" s="12"/>
      <c r="F198" s="12" t="s">
        <v>668</v>
      </c>
      <c r="G198" s="12" t="s">
        <v>19</v>
      </c>
      <c r="H198" s="12" t="s">
        <v>669</v>
      </c>
      <c r="I198" s="10" t="s">
        <v>21</v>
      </c>
      <c r="J198" s="12" t="s">
        <v>22</v>
      </c>
      <c r="K198" s="15" t="str">
        <f>_xlfn.DISPIMG("ID_FC7EEBBEB4C14E56A5BA944DF4AC7C18",1)</f>
        <v>=DISPIMG("ID_FC7EEBBEB4C14E56A5BA944DF4AC7C18",1)</v>
      </c>
      <c r="L198" s="11" t="str">
        <f>_xlfn.DISPIMG("ID_6A155C64171B49C3869859FF4967C66B",1)</f>
        <v>=DISPIMG("ID_6A155C64171B49C3869859FF4967C66B",1)</v>
      </c>
    </row>
    <row r="199" ht="409.5" spans="1:12">
      <c r="A199" s="10">
        <v>195</v>
      </c>
      <c r="B199" s="11" t="s">
        <v>15</v>
      </c>
      <c r="C199" s="12" t="s">
        <v>670</v>
      </c>
      <c r="D199" s="12" t="s">
        <v>671</v>
      </c>
      <c r="E199" s="12"/>
      <c r="F199" s="12" t="s">
        <v>672</v>
      </c>
      <c r="G199" s="12" t="s">
        <v>19</v>
      </c>
      <c r="H199" s="12" t="s">
        <v>673</v>
      </c>
      <c r="I199" s="10" t="s">
        <v>21</v>
      </c>
      <c r="J199" s="12" t="s">
        <v>22</v>
      </c>
      <c r="K199" s="15" t="str">
        <f>_xlfn.DISPIMG("ID_F822F6A65C8D4B89A5920779D3068D81",1)</f>
        <v>=DISPIMG("ID_F822F6A65C8D4B89A5920779D3068D81",1)</v>
      </c>
      <c r="L199" s="11" t="str">
        <f>_xlfn.DISPIMG("ID_D14E4D2DFE6342F0B1B6C7A61278550B",1)</f>
        <v>=DISPIMG("ID_D14E4D2DFE6342F0B1B6C7A61278550B",1)</v>
      </c>
    </row>
    <row r="200" ht="409.5" spans="1:12">
      <c r="A200" s="10">
        <v>196</v>
      </c>
      <c r="B200" s="11" t="s">
        <v>15</v>
      </c>
      <c r="C200" s="12" t="s">
        <v>674</v>
      </c>
      <c r="D200" s="12" t="s">
        <v>675</v>
      </c>
      <c r="E200" s="12"/>
      <c r="F200" s="12" t="s">
        <v>676</v>
      </c>
      <c r="G200" s="12" t="s">
        <v>19</v>
      </c>
      <c r="H200" s="12" t="s">
        <v>677</v>
      </c>
      <c r="I200" s="10" t="s">
        <v>21</v>
      </c>
      <c r="J200" s="12" t="s">
        <v>22</v>
      </c>
      <c r="K200" s="15" t="str">
        <f>_xlfn.DISPIMG("ID_590453B11F3F4AF4980672EB0CCBEC01",1)</f>
        <v>=DISPIMG("ID_590453B11F3F4AF4980672EB0CCBEC01",1)</v>
      </c>
      <c r="L200" s="11" t="str">
        <f>_xlfn.DISPIMG("ID_058D1103CE7646AAA7D801E76F691C5A",1)</f>
        <v>=DISPIMG("ID_058D1103CE7646AAA7D801E76F691C5A",1)</v>
      </c>
    </row>
    <row r="201" ht="409.5" spans="1:12">
      <c r="A201" s="10">
        <v>197</v>
      </c>
      <c r="B201" s="11" t="s">
        <v>15</v>
      </c>
      <c r="C201" s="12" t="s">
        <v>678</v>
      </c>
      <c r="D201" s="12" t="s">
        <v>679</v>
      </c>
      <c r="E201" s="12"/>
      <c r="F201" s="12" t="s">
        <v>680</v>
      </c>
      <c r="G201" s="12" t="s">
        <v>19</v>
      </c>
      <c r="H201" s="12" t="s">
        <v>681</v>
      </c>
      <c r="I201" s="10" t="s">
        <v>21</v>
      </c>
      <c r="J201" s="12" t="s">
        <v>22</v>
      </c>
      <c r="K201" s="15" t="str">
        <f>_xlfn.DISPIMG("ID_B8B6EEFE5D734467A13789A9AA741C2D",1)</f>
        <v>=DISPIMG("ID_B8B6EEFE5D734467A13789A9AA741C2D",1)</v>
      </c>
      <c r="L201" s="11" t="str">
        <f>_xlfn.DISPIMG("ID_F1A6B7C2B7A44926BD9E749A2BD90E38",1)</f>
        <v>=DISPIMG("ID_F1A6B7C2B7A44926BD9E749A2BD90E38",1)</v>
      </c>
    </row>
    <row r="202" ht="409.5" spans="1:12">
      <c r="A202" s="10">
        <v>198</v>
      </c>
      <c r="B202" s="11" t="s">
        <v>15</v>
      </c>
      <c r="C202" s="12" t="s">
        <v>682</v>
      </c>
      <c r="D202" s="12" t="s">
        <v>683</v>
      </c>
      <c r="E202" s="12"/>
      <c r="F202" s="12" t="s">
        <v>684</v>
      </c>
      <c r="G202" s="12" t="s">
        <v>19</v>
      </c>
      <c r="H202" s="12" t="s">
        <v>685</v>
      </c>
      <c r="I202" s="10" t="s">
        <v>21</v>
      </c>
      <c r="J202" s="12" t="s">
        <v>22</v>
      </c>
      <c r="K202" s="15" t="str">
        <f>_xlfn.DISPIMG("ID_CB65DCE0709D4ED5AF0E42D36580BCE1",1)</f>
        <v>=DISPIMG("ID_CB65DCE0709D4ED5AF0E42D36580BCE1",1)</v>
      </c>
      <c r="L202" s="11" t="str">
        <f>_xlfn.DISPIMG("ID_16741C1A29464625AB4ACD4C18456379",1)</f>
        <v>=DISPIMG("ID_16741C1A29464625AB4ACD4C18456379",1)</v>
      </c>
    </row>
    <row r="203" ht="409.5" spans="1:12">
      <c r="A203" s="10">
        <v>199</v>
      </c>
      <c r="B203" s="11" t="s">
        <v>15</v>
      </c>
      <c r="C203" s="12" t="s">
        <v>686</v>
      </c>
      <c r="D203" s="12" t="s">
        <v>687</v>
      </c>
      <c r="E203" s="12"/>
      <c r="F203" s="12" t="s">
        <v>688</v>
      </c>
      <c r="G203" s="12" t="s">
        <v>19</v>
      </c>
      <c r="H203" s="12" t="s">
        <v>689</v>
      </c>
      <c r="I203" s="10" t="s">
        <v>21</v>
      </c>
      <c r="J203" s="12" t="s">
        <v>22</v>
      </c>
      <c r="K203" s="15" t="str">
        <f>_xlfn.DISPIMG("ID_56335C26994C41878AFF10474DBC2356",1)</f>
        <v>=DISPIMG("ID_56335C26994C41878AFF10474DBC2356",1)</v>
      </c>
      <c r="L203" s="11" t="str">
        <f>_xlfn.DISPIMG("ID_61E94C9AFF9045709153A07F5491D201",1)</f>
        <v>=DISPIMG("ID_61E94C9AFF9045709153A07F5491D201",1)</v>
      </c>
    </row>
    <row r="204" ht="409.5" spans="1:12">
      <c r="A204" s="10">
        <v>200</v>
      </c>
      <c r="B204" s="11" t="s">
        <v>15</v>
      </c>
      <c r="C204" s="12" t="s">
        <v>690</v>
      </c>
      <c r="D204" s="12" t="s">
        <v>691</v>
      </c>
      <c r="E204" s="12"/>
      <c r="F204" s="12" t="s">
        <v>692</v>
      </c>
      <c r="G204" s="12" t="s">
        <v>19</v>
      </c>
      <c r="H204" s="12" t="s">
        <v>677</v>
      </c>
      <c r="I204" s="10" t="s">
        <v>21</v>
      </c>
      <c r="J204" s="12" t="s">
        <v>22</v>
      </c>
      <c r="K204" s="15" t="str">
        <f>_xlfn.DISPIMG("ID_9C6A9205440D4129A4758B3A53B62D08",1)</f>
        <v>=DISPIMG("ID_9C6A9205440D4129A4758B3A53B62D08",1)</v>
      </c>
      <c r="L204" s="11" t="str">
        <f>_xlfn.DISPIMG("ID_4426F216107744E98F7646D7AE539D96",1)</f>
        <v>=DISPIMG("ID_4426F216107744E98F7646D7AE539D96",1)</v>
      </c>
    </row>
    <row r="205" ht="409.5" spans="1:12">
      <c r="A205" s="10">
        <v>201</v>
      </c>
      <c r="B205" s="11" t="s">
        <v>15</v>
      </c>
      <c r="C205" s="12" t="s">
        <v>693</v>
      </c>
      <c r="D205" s="12" t="s">
        <v>694</v>
      </c>
      <c r="E205" s="12"/>
      <c r="F205" s="12" t="s">
        <v>695</v>
      </c>
      <c r="G205" s="12" t="s">
        <v>19</v>
      </c>
      <c r="H205" s="12" t="s">
        <v>696</v>
      </c>
      <c r="I205" s="10" t="s">
        <v>21</v>
      </c>
      <c r="J205" s="12" t="s">
        <v>22</v>
      </c>
      <c r="K205" s="15" t="str">
        <f>_xlfn.DISPIMG("ID_CE1AC4C8CFED4B1D996B28B21058FBD0",1)</f>
        <v>=DISPIMG("ID_CE1AC4C8CFED4B1D996B28B21058FBD0",1)</v>
      </c>
      <c r="L205" s="11" t="str">
        <f>_xlfn.DISPIMG("ID_6A449A3762ED4B7D992E061035B8C53A",1)</f>
        <v>=DISPIMG("ID_6A449A3762ED4B7D992E061035B8C53A",1)</v>
      </c>
    </row>
    <row r="206" ht="409.5" spans="1:12">
      <c r="A206" s="10">
        <v>202</v>
      </c>
      <c r="B206" s="11" t="s">
        <v>15</v>
      </c>
      <c r="C206" s="12" t="s">
        <v>697</v>
      </c>
      <c r="D206" s="12" t="s">
        <v>698</v>
      </c>
      <c r="E206" s="12"/>
      <c r="F206" s="12" t="s">
        <v>699</v>
      </c>
      <c r="G206" s="12" t="s">
        <v>19</v>
      </c>
      <c r="H206" s="12" t="s">
        <v>696</v>
      </c>
      <c r="I206" s="10" t="s">
        <v>21</v>
      </c>
      <c r="J206" s="12" t="s">
        <v>22</v>
      </c>
      <c r="K206" s="15" t="str">
        <f>_xlfn.DISPIMG("ID_1FA8DE32BAA74253A6DE8B00E49A71CD",1)</f>
        <v>=DISPIMG("ID_1FA8DE32BAA74253A6DE8B00E49A71CD",1)</v>
      </c>
      <c r="L206" s="11" t="str">
        <f>_xlfn.DISPIMG("ID_A94CE99E4E194D93A643F9624BFBFEF4",1)</f>
        <v>=DISPIMG("ID_A94CE99E4E194D93A643F9624BFBFEF4",1)</v>
      </c>
    </row>
    <row r="207" ht="409.5" spans="1:12">
      <c r="A207" s="10">
        <v>203</v>
      </c>
      <c r="B207" s="11" t="s">
        <v>15</v>
      </c>
      <c r="C207" s="12" t="s">
        <v>700</v>
      </c>
      <c r="D207" s="12" t="s">
        <v>701</v>
      </c>
      <c r="E207" s="12"/>
      <c r="F207" s="12" t="s">
        <v>702</v>
      </c>
      <c r="G207" s="12" t="s">
        <v>19</v>
      </c>
      <c r="H207" s="12" t="s">
        <v>677</v>
      </c>
      <c r="I207" s="10" t="s">
        <v>21</v>
      </c>
      <c r="J207" s="12" t="s">
        <v>22</v>
      </c>
      <c r="K207" s="15" t="str">
        <f>_xlfn.DISPIMG("ID_FEA6CFCF30B4485AAFD5F8793A582332",1)</f>
        <v>=DISPIMG("ID_FEA6CFCF30B4485AAFD5F8793A582332",1)</v>
      </c>
      <c r="L207" s="11" t="str">
        <f>_xlfn.DISPIMG("ID_6184377899704818ABE0A9F6A94278AD",1)</f>
        <v>=DISPIMG("ID_6184377899704818ABE0A9F6A94278AD",1)</v>
      </c>
    </row>
    <row r="208" ht="409.5" spans="1:12">
      <c r="A208" s="10">
        <v>204</v>
      </c>
      <c r="B208" s="11" t="s">
        <v>15</v>
      </c>
      <c r="C208" s="12" t="s">
        <v>703</v>
      </c>
      <c r="D208" s="12" t="s">
        <v>704</v>
      </c>
      <c r="E208" s="12"/>
      <c r="F208" s="12" t="s">
        <v>705</v>
      </c>
      <c r="G208" s="12" t="s">
        <v>19</v>
      </c>
      <c r="H208" s="12" t="s">
        <v>677</v>
      </c>
      <c r="I208" s="10" t="s">
        <v>21</v>
      </c>
      <c r="J208" s="12" t="s">
        <v>22</v>
      </c>
      <c r="K208" s="15" t="str">
        <f>_xlfn.DISPIMG("ID_0E535FDC3BFF4B75AD2EE5F5114ECC7D",1)</f>
        <v>=DISPIMG("ID_0E535FDC3BFF4B75AD2EE5F5114ECC7D",1)</v>
      </c>
      <c r="L208" s="11" t="str">
        <f>_xlfn.DISPIMG("ID_6B9EB7C36B074F18ACA273B796FF421F",1)</f>
        <v>=DISPIMG("ID_6B9EB7C36B074F18ACA273B796FF421F",1)</v>
      </c>
    </row>
    <row r="209" ht="409.5" spans="1:12">
      <c r="A209" s="10">
        <v>205</v>
      </c>
      <c r="B209" s="11" t="s">
        <v>15</v>
      </c>
      <c r="C209" s="12" t="s">
        <v>706</v>
      </c>
      <c r="D209" s="12" t="s">
        <v>707</v>
      </c>
      <c r="E209" s="12"/>
      <c r="F209" s="12" t="s">
        <v>708</v>
      </c>
      <c r="G209" s="12" t="s">
        <v>19</v>
      </c>
      <c r="H209" s="12" t="s">
        <v>366</v>
      </c>
      <c r="I209" s="10" t="s">
        <v>21</v>
      </c>
      <c r="J209" s="12" t="s">
        <v>22</v>
      </c>
      <c r="K209" s="15" t="str">
        <f>_xlfn.DISPIMG("ID_B3B36B3963664DE2AD9457551E7939D3",1)</f>
        <v>=DISPIMG("ID_B3B36B3963664DE2AD9457551E7939D3",1)</v>
      </c>
      <c r="L209" s="11" t="str">
        <f>_xlfn.DISPIMG("ID_6ECF97AC85E441FAA450D4246387BE4A",1)</f>
        <v>=DISPIMG("ID_6ECF97AC85E441FAA450D4246387BE4A",1)</v>
      </c>
    </row>
    <row r="210" ht="409.5" spans="1:12">
      <c r="A210" s="10">
        <v>206</v>
      </c>
      <c r="B210" s="11" t="s">
        <v>15</v>
      </c>
      <c r="C210" s="12" t="s">
        <v>709</v>
      </c>
      <c r="D210" s="12" t="s">
        <v>710</v>
      </c>
      <c r="E210" s="12"/>
      <c r="F210" s="12" t="s">
        <v>711</v>
      </c>
      <c r="G210" s="12" t="s">
        <v>19</v>
      </c>
      <c r="H210" s="12" t="s">
        <v>681</v>
      </c>
      <c r="I210" s="10" t="s">
        <v>21</v>
      </c>
      <c r="J210" s="12" t="s">
        <v>22</v>
      </c>
      <c r="K210" s="15" t="str">
        <f>_xlfn.DISPIMG("ID_A821FADE5DAC4579A010C6175C212FBB",1)</f>
        <v>=DISPIMG("ID_A821FADE5DAC4579A010C6175C212FBB",1)</v>
      </c>
      <c r="L210" s="11" t="str">
        <f>_xlfn.DISPIMG("ID_B169655AECE94798BC0281D375776F89",1)</f>
        <v>=DISPIMG("ID_B169655AECE94798BC0281D375776F89",1)</v>
      </c>
    </row>
    <row r="211" ht="409.5" spans="1:12">
      <c r="A211" s="10">
        <v>207</v>
      </c>
      <c r="B211" s="11" t="s">
        <v>15</v>
      </c>
      <c r="C211" s="12" t="s">
        <v>712</v>
      </c>
      <c r="D211" s="12" t="s">
        <v>713</v>
      </c>
      <c r="E211" s="12"/>
      <c r="F211" s="12" t="s">
        <v>714</v>
      </c>
      <c r="G211" s="12" t="s">
        <v>19</v>
      </c>
      <c r="H211" s="12" t="s">
        <v>681</v>
      </c>
      <c r="I211" s="10" t="s">
        <v>21</v>
      </c>
      <c r="J211" s="12" t="s">
        <v>22</v>
      </c>
      <c r="K211" s="15" t="str">
        <f>_xlfn.DISPIMG("ID_98E02D0EE5074EF8A8CA4CCC230E6FC5",1)</f>
        <v>=DISPIMG("ID_98E02D0EE5074EF8A8CA4CCC230E6FC5",1)</v>
      </c>
      <c r="L211" s="11" t="str">
        <f>_xlfn.DISPIMG("ID_270B67FFFEB34A96BEA865B0B423CFDB",1)</f>
        <v>=DISPIMG("ID_270B67FFFEB34A96BEA865B0B423CFDB",1)</v>
      </c>
    </row>
    <row r="212" ht="409.5" spans="1:12">
      <c r="A212" s="10">
        <v>208</v>
      </c>
      <c r="B212" s="11" t="s">
        <v>15</v>
      </c>
      <c r="C212" s="12" t="s">
        <v>715</v>
      </c>
      <c r="D212" s="12" t="s">
        <v>716</v>
      </c>
      <c r="E212" s="12"/>
      <c r="F212" s="12" t="s">
        <v>717</v>
      </c>
      <c r="G212" s="12" t="s">
        <v>19</v>
      </c>
      <c r="H212" s="12" t="s">
        <v>681</v>
      </c>
      <c r="I212" s="10" t="s">
        <v>21</v>
      </c>
      <c r="J212" s="12" t="s">
        <v>22</v>
      </c>
      <c r="K212" s="15" t="str">
        <f>_xlfn.DISPIMG("ID_78B2D461065B4066ABD6F2F358392858",1)</f>
        <v>=DISPIMG("ID_78B2D461065B4066ABD6F2F358392858",1)</v>
      </c>
      <c r="L212" s="11" t="str">
        <f>_xlfn.DISPIMG("ID_BEAD938EDAC54CB7806D71360D4523D5",1)</f>
        <v>=DISPIMG("ID_BEAD938EDAC54CB7806D71360D4523D5",1)</v>
      </c>
    </row>
    <row r="213" ht="409.5" spans="1:12">
      <c r="A213" s="10">
        <v>209</v>
      </c>
      <c r="B213" s="11" t="s">
        <v>15</v>
      </c>
      <c r="C213" s="12" t="s">
        <v>718</v>
      </c>
      <c r="D213" s="12" t="s">
        <v>719</v>
      </c>
      <c r="E213" s="12"/>
      <c r="F213" s="12" t="s">
        <v>720</v>
      </c>
      <c r="G213" s="12" t="s">
        <v>19</v>
      </c>
      <c r="H213" s="12" t="s">
        <v>721</v>
      </c>
      <c r="I213" s="10" t="s">
        <v>21</v>
      </c>
      <c r="J213" s="12" t="s">
        <v>22</v>
      </c>
      <c r="K213" s="15" t="str">
        <f>_xlfn.DISPIMG("ID_42507AF3F91640FFB64CFF7B348F446C",1)</f>
        <v>=DISPIMG("ID_42507AF3F91640FFB64CFF7B348F446C",1)</v>
      </c>
      <c r="L213" s="11" t="str">
        <f>_xlfn.DISPIMG("ID_B968B5DE5969463BA7282E5F25EFDD18",1)</f>
        <v>=DISPIMG("ID_B968B5DE5969463BA7282E5F25EFDD18",1)</v>
      </c>
    </row>
    <row r="214" ht="409.5" spans="1:12">
      <c r="A214" s="10">
        <v>210</v>
      </c>
      <c r="B214" s="11" t="s">
        <v>15</v>
      </c>
      <c r="C214" s="12" t="s">
        <v>722</v>
      </c>
      <c r="D214" s="12" t="s">
        <v>723</v>
      </c>
      <c r="E214" s="12"/>
      <c r="F214" s="12" t="s">
        <v>724</v>
      </c>
      <c r="G214" s="12" t="s">
        <v>19</v>
      </c>
      <c r="H214" s="12" t="s">
        <v>681</v>
      </c>
      <c r="I214" s="10" t="s">
        <v>21</v>
      </c>
      <c r="J214" s="12" t="s">
        <v>22</v>
      </c>
      <c r="K214" s="15" t="str">
        <f>_xlfn.DISPIMG("ID_17FBFA98260E4692B584119D1C58BF02",1)</f>
        <v>=DISPIMG("ID_17FBFA98260E4692B584119D1C58BF02",1)</v>
      </c>
      <c r="L214" s="11" t="str">
        <f>_xlfn.DISPIMG("ID_A6FDC9E792384C858305B789989E6C00",1)</f>
        <v>=DISPIMG("ID_A6FDC9E792384C858305B789989E6C00",1)</v>
      </c>
    </row>
    <row r="215" ht="409.5" spans="1:12">
      <c r="A215" s="10">
        <v>211</v>
      </c>
      <c r="B215" s="11" t="s">
        <v>15</v>
      </c>
      <c r="C215" s="12" t="s">
        <v>725</v>
      </c>
      <c r="D215" s="12" t="s">
        <v>726</v>
      </c>
      <c r="E215" s="12"/>
      <c r="F215" s="12" t="s">
        <v>727</v>
      </c>
      <c r="G215" s="12" t="s">
        <v>19</v>
      </c>
      <c r="H215" s="12" t="s">
        <v>728</v>
      </c>
      <c r="I215" s="10" t="s">
        <v>21</v>
      </c>
      <c r="J215" s="12" t="s">
        <v>22</v>
      </c>
      <c r="K215" s="15" t="str">
        <f>_xlfn.DISPIMG("ID_17AF86012E0C4EFEBED2E673042EE51C",1)</f>
        <v>=DISPIMG("ID_17AF86012E0C4EFEBED2E673042EE51C",1)</v>
      </c>
      <c r="L215" s="11" t="str">
        <f>_xlfn.DISPIMG("ID_0DDE67D3C360448D8DDD3C7E4D0C8E8A",1)</f>
        <v>=DISPIMG("ID_0DDE67D3C360448D8DDD3C7E4D0C8E8A",1)</v>
      </c>
    </row>
    <row r="216" ht="409.5" spans="1:12">
      <c r="A216" s="10">
        <v>212</v>
      </c>
      <c r="B216" s="11" t="s">
        <v>15</v>
      </c>
      <c r="C216" s="12" t="s">
        <v>729</v>
      </c>
      <c r="D216" s="12" t="s">
        <v>730</v>
      </c>
      <c r="E216" s="12"/>
      <c r="F216" s="12" t="s">
        <v>731</v>
      </c>
      <c r="G216" s="12" t="s">
        <v>19</v>
      </c>
      <c r="H216" s="12" t="s">
        <v>732</v>
      </c>
      <c r="I216" s="10" t="s">
        <v>21</v>
      </c>
      <c r="J216" s="12" t="s">
        <v>22</v>
      </c>
      <c r="K216" s="15" t="str">
        <f>_xlfn.DISPIMG("ID_9EAFC35624034AA2832BB10ACCD20E65",1)</f>
        <v>=DISPIMG("ID_9EAFC35624034AA2832BB10ACCD20E65",1)</v>
      </c>
      <c r="L216" s="11" t="str">
        <f>_xlfn.DISPIMG("ID_EE643A5D6BF84DFAAD03D5044443D265",1)</f>
        <v>=DISPIMG("ID_EE643A5D6BF84DFAAD03D5044443D265",1)</v>
      </c>
    </row>
    <row r="217" ht="409.5" spans="1:12">
      <c r="A217" s="10">
        <v>213</v>
      </c>
      <c r="B217" s="11" t="s">
        <v>15</v>
      </c>
      <c r="C217" s="12" t="s">
        <v>733</v>
      </c>
      <c r="D217" s="12" t="s">
        <v>734</v>
      </c>
      <c r="E217" s="12"/>
      <c r="F217" s="12" t="s">
        <v>735</v>
      </c>
      <c r="G217" s="12" t="s">
        <v>19</v>
      </c>
      <c r="H217" s="12" t="s">
        <v>736</v>
      </c>
      <c r="I217" s="10" t="s">
        <v>21</v>
      </c>
      <c r="J217" s="12" t="s">
        <v>22</v>
      </c>
      <c r="K217" s="15" t="str">
        <f>_xlfn.DISPIMG("ID_01F4636D0E854D8AA5893711E3444A5F",1)</f>
        <v>=DISPIMG("ID_01F4636D0E854D8AA5893711E3444A5F",1)</v>
      </c>
      <c r="L217" s="11" t="str">
        <f>_xlfn.DISPIMG("ID_C6205684D6E041F08B5E3E34BE77209D",1)</f>
        <v>=DISPIMG("ID_C6205684D6E041F08B5E3E34BE77209D",1)</v>
      </c>
    </row>
    <row r="218" ht="409.5" spans="1:12">
      <c r="A218" s="10">
        <v>214</v>
      </c>
      <c r="B218" s="11" t="s">
        <v>15</v>
      </c>
      <c r="C218" s="12" t="s">
        <v>737</v>
      </c>
      <c r="D218" s="12" t="s">
        <v>738</v>
      </c>
      <c r="E218" s="12"/>
      <c r="F218" s="12" t="s">
        <v>739</v>
      </c>
      <c r="G218" s="12" t="s">
        <v>19</v>
      </c>
      <c r="H218" s="12" t="s">
        <v>740</v>
      </c>
      <c r="I218" s="10" t="s">
        <v>21</v>
      </c>
      <c r="J218" s="12" t="s">
        <v>22</v>
      </c>
      <c r="K218" s="15" t="str">
        <f>_xlfn.DISPIMG("ID_7321B1CD12DE4833BB0846DD3103A9D4",1)</f>
        <v>=DISPIMG("ID_7321B1CD12DE4833BB0846DD3103A9D4",1)</v>
      </c>
      <c r="L218" s="11" t="str">
        <f>_xlfn.DISPIMG("ID_E3637E8097A24226AA7D6FBE7713E0E1",1)</f>
        <v>=DISPIMG("ID_E3637E8097A24226AA7D6FBE7713E0E1",1)</v>
      </c>
    </row>
    <row r="219" ht="409.5" spans="1:12">
      <c r="A219" s="10">
        <v>215</v>
      </c>
      <c r="B219" s="11" t="s">
        <v>15</v>
      </c>
      <c r="C219" s="12" t="s">
        <v>741</v>
      </c>
      <c r="D219" s="12" t="s">
        <v>742</v>
      </c>
      <c r="E219" s="12"/>
      <c r="F219" s="12" t="s">
        <v>743</v>
      </c>
      <c r="G219" s="12" t="s">
        <v>19</v>
      </c>
      <c r="H219" s="12" t="s">
        <v>744</v>
      </c>
      <c r="I219" s="10" t="s">
        <v>21</v>
      </c>
      <c r="J219" s="12" t="s">
        <v>22</v>
      </c>
      <c r="K219" s="15" t="str">
        <f>_xlfn.DISPIMG("ID_E5E5BCAD3FC641CDA33FD2AC944B995A",1)</f>
        <v>=DISPIMG("ID_E5E5BCAD3FC641CDA33FD2AC944B995A",1)</v>
      </c>
      <c r="L219" s="11" t="str">
        <f>_xlfn.DISPIMG("ID_5A66F92DCF484A9BAE78A882BE2DFA96",1)</f>
        <v>=DISPIMG("ID_5A66F92DCF484A9BAE78A882BE2DFA96",1)</v>
      </c>
    </row>
    <row r="220" ht="409.5" spans="1:12">
      <c r="A220" s="10">
        <v>216</v>
      </c>
      <c r="B220" s="11" t="s">
        <v>15</v>
      </c>
      <c r="C220" s="12" t="s">
        <v>745</v>
      </c>
      <c r="D220" s="12" t="s">
        <v>746</v>
      </c>
      <c r="E220" s="12"/>
      <c r="F220" s="12" t="s">
        <v>747</v>
      </c>
      <c r="G220" s="12" t="s">
        <v>19</v>
      </c>
      <c r="H220" s="12" t="s">
        <v>748</v>
      </c>
      <c r="I220" s="10" t="s">
        <v>21</v>
      </c>
      <c r="J220" s="12" t="s">
        <v>22</v>
      </c>
      <c r="K220" s="15" t="str">
        <f>_xlfn.DISPIMG("ID_CA8C9BFA9EF14B0188D7393AF86023DD",1)</f>
        <v>=DISPIMG("ID_CA8C9BFA9EF14B0188D7393AF86023DD",1)</v>
      </c>
      <c r="L220" s="11" t="str">
        <f>_xlfn.DISPIMG("ID_18251CC31C7145EAA0166B787DE7329A",1)</f>
        <v>=DISPIMG("ID_18251CC31C7145EAA0166B787DE7329A",1)</v>
      </c>
    </row>
    <row r="221" ht="409.5" spans="1:12">
      <c r="A221" s="10">
        <v>217</v>
      </c>
      <c r="B221" s="11" t="s">
        <v>15</v>
      </c>
      <c r="C221" s="12" t="s">
        <v>749</v>
      </c>
      <c r="D221" s="12" t="s">
        <v>750</v>
      </c>
      <c r="E221" s="12"/>
      <c r="F221" s="12" t="s">
        <v>751</v>
      </c>
      <c r="G221" s="12" t="s">
        <v>19</v>
      </c>
      <c r="H221" s="12" t="s">
        <v>752</v>
      </c>
      <c r="I221" s="10" t="s">
        <v>21</v>
      </c>
      <c r="J221" s="12" t="s">
        <v>22</v>
      </c>
      <c r="K221" s="15" t="str">
        <f>_xlfn.DISPIMG("ID_A7813DC126A24738B4E6A11976594E51",1)</f>
        <v>=DISPIMG("ID_A7813DC126A24738B4E6A11976594E51",1)</v>
      </c>
      <c r="L221" s="11" t="str">
        <f>_xlfn.DISPIMG("ID_A269EE741894444DA6EEE5B6A121CA21",1)</f>
        <v>=DISPIMG("ID_A269EE741894444DA6EEE5B6A121CA21",1)</v>
      </c>
    </row>
    <row r="222" ht="409.5" spans="1:12">
      <c r="A222" s="10">
        <v>218</v>
      </c>
      <c r="B222" s="11" t="s">
        <v>15</v>
      </c>
      <c r="C222" s="12" t="s">
        <v>753</v>
      </c>
      <c r="D222" s="12" t="s">
        <v>754</v>
      </c>
      <c r="E222" s="12"/>
      <c r="F222" s="12" t="s">
        <v>755</v>
      </c>
      <c r="G222" s="12" t="s">
        <v>19</v>
      </c>
      <c r="H222" s="12" t="s">
        <v>681</v>
      </c>
      <c r="I222" s="10" t="s">
        <v>21</v>
      </c>
      <c r="J222" s="12" t="s">
        <v>22</v>
      </c>
      <c r="K222" s="15" t="str">
        <f>_xlfn.DISPIMG("ID_E265EAB2EA8E4422BF7E6E464E524DDA",1)</f>
        <v>=DISPIMG("ID_E265EAB2EA8E4422BF7E6E464E524DDA",1)</v>
      </c>
      <c r="L222" s="11" t="str">
        <f>_xlfn.DISPIMG("ID_95B597399224406F9CCCC553F679E65C",1)</f>
        <v>=DISPIMG("ID_95B597399224406F9CCCC553F679E65C",1)</v>
      </c>
    </row>
    <row r="223" ht="409.5" spans="1:12">
      <c r="A223" s="10">
        <v>219</v>
      </c>
      <c r="B223" s="11" t="s">
        <v>15</v>
      </c>
      <c r="C223" s="12" t="s">
        <v>756</v>
      </c>
      <c r="D223" s="12" t="s">
        <v>754</v>
      </c>
      <c r="E223" s="12"/>
      <c r="F223" s="12" t="s">
        <v>755</v>
      </c>
      <c r="G223" s="12" t="s">
        <v>19</v>
      </c>
      <c r="H223" s="12" t="s">
        <v>681</v>
      </c>
      <c r="I223" s="10" t="s">
        <v>21</v>
      </c>
      <c r="J223" s="12" t="s">
        <v>22</v>
      </c>
      <c r="K223" s="15" t="str">
        <f>_xlfn.DISPIMG("ID_1F5DF1B38ECA4C3E9D74BB26D05A0177",1)</f>
        <v>=DISPIMG("ID_1F5DF1B38ECA4C3E9D74BB26D05A0177",1)</v>
      </c>
      <c r="L223" s="11" t="str">
        <f>_xlfn.DISPIMG("ID_D0940BB27DE7439C8F42A4B6EB64AE49",1)</f>
        <v>=DISPIMG("ID_D0940BB27DE7439C8F42A4B6EB64AE49",1)</v>
      </c>
    </row>
    <row r="224" ht="409.5" spans="1:12">
      <c r="A224" s="10">
        <v>220</v>
      </c>
      <c r="B224" s="11" t="s">
        <v>15</v>
      </c>
      <c r="C224" s="12" t="s">
        <v>757</v>
      </c>
      <c r="D224" s="12" t="s">
        <v>758</v>
      </c>
      <c r="E224" s="12"/>
      <c r="F224" s="12" t="s">
        <v>759</v>
      </c>
      <c r="G224" s="12" t="s">
        <v>19</v>
      </c>
      <c r="H224" s="12" t="s">
        <v>740</v>
      </c>
      <c r="I224" s="10" t="s">
        <v>21</v>
      </c>
      <c r="J224" s="12" t="s">
        <v>22</v>
      </c>
      <c r="K224" s="15" t="str">
        <f>_xlfn.DISPIMG("ID_F63BBED621DD44D392A0CE1EB47A018B",1)</f>
        <v>=DISPIMG("ID_F63BBED621DD44D392A0CE1EB47A018B",1)</v>
      </c>
      <c r="L224" s="11" t="str">
        <f>_xlfn.DISPIMG("ID_199093C408184972AC71F2145C3B5777",1)</f>
        <v>=DISPIMG("ID_199093C408184972AC71F2145C3B5777",1)</v>
      </c>
    </row>
    <row r="225" ht="409.5" spans="1:12">
      <c r="A225" s="10">
        <v>221</v>
      </c>
      <c r="B225" s="11" t="s">
        <v>15</v>
      </c>
      <c r="C225" s="12" t="s">
        <v>760</v>
      </c>
      <c r="D225" s="12" t="s">
        <v>761</v>
      </c>
      <c r="E225" s="12"/>
      <c r="F225" s="12" t="s">
        <v>762</v>
      </c>
      <c r="G225" s="12" t="s">
        <v>19</v>
      </c>
      <c r="H225" s="12" t="s">
        <v>740</v>
      </c>
      <c r="I225" s="10" t="s">
        <v>21</v>
      </c>
      <c r="J225" s="12" t="s">
        <v>22</v>
      </c>
      <c r="K225" s="15" t="str">
        <f>_xlfn.DISPIMG("ID_9030A2E233144BC0A5D1C5547A832BA7",1)</f>
        <v>=DISPIMG("ID_9030A2E233144BC0A5D1C5547A832BA7",1)</v>
      </c>
      <c r="L225" s="11" t="str">
        <f>_xlfn.DISPIMG("ID_30C5E7E0DF154A239ECAD096AFF98FA9",1)</f>
        <v>=DISPIMG("ID_30C5E7E0DF154A239ECAD096AFF98FA9",1)</v>
      </c>
    </row>
    <row r="226" ht="409.5" spans="1:12">
      <c r="A226" s="10">
        <v>222</v>
      </c>
      <c r="B226" s="11" t="s">
        <v>15</v>
      </c>
      <c r="C226" s="12" t="s">
        <v>763</v>
      </c>
      <c r="D226" s="12" t="s">
        <v>764</v>
      </c>
      <c r="E226" s="12"/>
      <c r="F226" s="12" t="s">
        <v>765</v>
      </c>
      <c r="G226" s="12" t="s">
        <v>19</v>
      </c>
      <c r="H226" s="12" t="s">
        <v>740</v>
      </c>
      <c r="I226" s="10" t="s">
        <v>21</v>
      </c>
      <c r="J226" s="12" t="s">
        <v>22</v>
      </c>
      <c r="K226" s="15" t="str">
        <f>_xlfn.DISPIMG("ID_BF0DC7237D214320960C4A17B10BE1C6",1)</f>
        <v>=DISPIMG("ID_BF0DC7237D214320960C4A17B10BE1C6",1)</v>
      </c>
      <c r="L226" s="11" t="str">
        <f>_xlfn.DISPIMG("ID_636013D3B45B4B60B52287C9111F32AE",1)</f>
        <v>=DISPIMG("ID_636013D3B45B4B60B52287C9111F32AE",1)</v>
      </c>
    </row>
    <row r="227" ht="409.5" spans="1:12">
      <c r="A227" s="10">
        <v>223</v>
      </c>
      <c r="B227" s="11" t="s">
        <v>15</v>
      </c>
      <c r="C227" s="12" t="s">
        <v>766</v>
      </c>
      <c r="D227" s="12" t="s">
        <v>767</v>
      </c>
      <c r="E227" s="12"/>
      <c r="F227" s="12" t="s">
        <v>768</v>
      </c>
      <c r="G227" s="12" t="s">
        <v>19</v>
      </c>
      <c r="H227" s="12" t="s">
        <v>740</v>
      </c>
      <c r="I227" s="10" t="s">
        <v>21</v>
      </c>
      <c r="J227" s="12" t="s">
        <v>22</v>
      </c>
      <c r="K227" s="15" t="str">
        <f>_xlfn.DISPIMG("ID_D5AE6D77436041B29B4826DE65C76301",1)</f>
        <v>=DISPIMG("ID_D5AE6D77436041B29B4826DE65C76301",1)</v>
      </c>
      <c r="L227" s="11" t="str">
        <f>_xlfn.DISPIMG("ID_E5F2408F44384EB2AEAC9002E5B54B7D",1)</f>
        <v>=DISPIMG("ID_E5F2408F44384EB2AEAC9002E5B54B7D",1)</v>
      </c>
    </row>
    <row r="228" ht="409.5" spans="1:12">
      <c r="A228" s="10">
        <v>224</v>
      </c>
      <c r="B228" s="11" t="s">
        <v>15</v>
      </c>
      <c r="C228" s="12" t="s">
        <v>769</v>
      </c>
      <c r="D228" s="12" t="s">
        <v>770</v>
      </c>
      <c r="E228" s="12"/>
      <c r="F228" s="12" t="s">
        <v>771</v>
      </c>
      <c r="G228" s="12" t="s">
        <v>19</v>
      </c>
      <c r="H228" s="12" t="s">
        <v>740</v>
      </c>
      <c r="I228" s="10" t="s">
        <v>21</v>
      </c>
      <c r="J228" s="12" t="s">
        <v>22</v>
      </c>
      <c r="K228" s="15" t="str">
        <f>_xlfn.DISPIMG("ID_7D5A47C300AB4FBAB4C6BCA04D869A05",1)</f>
        <v>=DISPIMG("ID_7D5A47C300AB4FBAB4C6BCA04D869A05",1)</v>
      </c>
      <c r="L228" s="11" t="str">
        <f>_xlfn.DISPIMG("ID_B4932E1C3D8C4014A3E4174FB2610970",1)</f>
        <v>=DISPIMG("ID_B4932E1C3D8C4014A3E4174FB2610970",1)</v>
      </c>
    </row>
    <row r="229" ht="409.5" spans="1:12">
      <c r="A229" s="10">
        <v>225</v>
      </c>
      <c r="B229" s="11" t="s">
        <v>15</v>
      </c>
      <c r="C229" s="12" t="s">
        <v>772</v>
      </c>
      <c r="D229" s="12" t="s">
        <v>773</v>
      </c>
      <c r="E229" s="12"/>
      <c r="F229" s="12" t="s">
        <v>774</v>
      </c>
      <c r="G229" s="12" t="s">
        <v>19</v>
      </c>
      <c r="H229" s="12" t="s">
        <v>740</v>
      </c>
      <c r="I229" s="10" t="s">
        <v>21</v>
      </c>
      <c r="J229" s="12" t="s">
        <v>22</v>
      </c>
      <c r="K229" s="15" t="str">
        <f>_xlfn.DISPIMG("ID_D6FA278AB7D64082A2BA1A84FFCBE224",1)</f>
        <v>=DISPIMG("ID_D6FA278AB7D64082A2BA1A84FFCBE224",1)</v>
      </c>
      <c r="L229" s="11" t="str">
        <f>_xlfn.DISPIMG("ID_A2A3B55C0B444D94B6E3C45917A30FCF",1)</f>
        <v>=DISPIMG("ID_A2A3B55C0B444D94B6E3C45917A30FCF",1)</v>
      </c>
    </row>
    <row r="230" ht="409.5" spans="1:12">
      <c r="A230" s="10">
        <v>226</v>
      </c>
      <c r="B230" s="11" t="s">
        <v>15</v>
      </c>
      <c r="C230" s="12" t="s">
        <v>775</v>
      </c>
      <c r="D230" s="12" t="s">
        <v>776</v>
      </c>
      <c r="E230" s="12"/>
      <c r="F230" s="12" t="s">
        <v>777</v>
      </c>
      <c r="G230" s="12" t="s">
        <v>19</v>
      </c>
      <c r="H230" s="12" t="s">
        <v>740</v>
      </c>
      <c r="I230" s="10" t="s">
        <v>21</v>
      </c>
      <c r="J230" s="12" t="s">
        <v>22</v>
      </c>
      <c r="K230" s="15" t="str">
        <f>_xlfn.DISPIMG("ID_164DCF170271426E8C21AAFF7C27093A",1)</f>
        <v>=DISPIMG("ID_164DCF170271426E8C21AAFF7C27093A",1)</v>
      </c>
      <c r="L230" s="11" t="str">
        <f>_xlfn.DISPIMG("ID_B73D2082261A4231BF6E3F112BB26ADB",1)</f>
        <v>=DISPIMG("ID_B73D2082261A4231BF6E3F112BB26ADB",1)</v>
      </c>
    </row>
    <row r="231" ht="409.5" spans="1:12">
      <c r="A231" s="10">
        <v>227</v>
      </c>
      <c r="B231" s="11" t="s">
        <v>15</v>
      </c>
      <c r="C231" s="12" t="s">
        <v>778</v>
      </c>
      <c r="D231" s="12" t="s">
        <v>779</v>
      </c>
      <c r="E231" s="12"/>
      <c r="F231" s="12" t="s">
        <v>780</v>
      </c>
      <c r="G231" s="12" t="s">
        <v>19</v>
      </c>
      <c r="H231" s="12" t="s">
        <v>740</v>
      </c>
      <c r="I231" s="10" t="s">
        <v>21</v>
      </c>
      <c r="J231" s="12" t="s">
        <v>22</v>
      </c>
      <c r="K231" s="15" t="str">
        <f>_xlfn.DISPIMG("ID_047DBE7F294E4D72B8AB8CFCDFA8570D",1)</f>
        <v>=DISPIMG("ID_047DBE7F294E4D72B8AB8CFCDFA8570D",1)</v>
      </c>
      <c r="L231" s="11" t="str">
        <f>_xlfn.DISPIMG("ID_8F6FC1227FAE4109B08B5B8021DD77C4",1)</f>
        <v>=DISPIMG("ID_8F6FC1227FAE4109B08B5B8021DD77C4",1)</v>
      </c>
    </row>
    <row r="232" ht="409.5" spans="1:12">
      <c r="A232" s="10">
        <v>228</v>
      </c>
      <c r="B232" s="11" t="s">
        <v>15</v>
      </c>
      <c r="C232" s="12" t="s">
        <v>781</v>
      </c>
      <c r="D232" s="12" t="s">
        <v>782</v>
      </c>
      <c r="E232" s="12"/>
      <c r="F232" s="12" t="s">
        <v>783</v>
      </c>
      <c r="G232" s="12" t="s">
        <v>19</v>
      </c>
      <c r="H232" s="12" t="s">
        <v>784</v>
      </c>
      <c r="I232" s="10" t="s">
        <v>21</v>
      </c>
      <c r="J232" s="12" t="s">
        <v>22</v>
      </c>
      <c r="K232" s="15" t="str">
        <f>_xlfn.DISPIMG("ID_35F6A5F58ECA43729F1E5254CE21BE19",1)</f>
        <v>=DISPIMG("ID_35F6A5F58ECA43729F1E5254CE21BE19",1)</v>
      </c>
      <c r="L232" s="11" t="str">
        <f>_xlfn.DISPIMG("ID_F7C33B98828040F28CB4C954EE4CBBBF",1)</f>
        <v>=DISPIMG("ID_F7C33B98828040F28CB4C954EE4CBBBF",1)</v>
      </c>
    </row>
    <row r="233" ht="409.5" spans="1:12">
      <c r="A233" s="10">
        <v>229</v>
      </c>
      <c r="B233" s="11" t="s">
        <v>15</v>
      </c>
      <c r="C233" s="12" t="s">
        <v>785</v>
      </c>
      <c r="D233" s="12" t="s">
        <v>786</v>
      </c>
      <c r="E233" s="12"/>
      <c r="F233" s="12" t="s">
        <v>787</v>
      </c>
      <c r="G233" s="12" t="s">
        <v>19</v>
      </c>
      <c r="H233" s="12" t="s">
        <v>740</v>
      </c>
      <c r="I233" s="10" t="s">
        <v>21</v>
      </c>
      <c r="J233" s="12" t="s">
        <v>22</v>
      </c>
      <c r="K233" s="15" t="str">
        <f>_xlfn.DISPIMG("ID_19AABB56176746468DFA7130FA0B3883",1)</f>
        <v>=DISPIMG("ID_19AABB56176746468DFA7130FA0B3883",1)</v>
      </c>
      <c r="L233" s="11" t="str">
        <f>_xlfn.DISPIMG("ID_BF539E18D9DB467F98710A663CC4EA43",1)</f>
        <v>=DISPIMG("ID_BF539E18D9DB467F98710A663CC4EA43",1)</v>
      </c>
    </row>
    <row r="234" ht="409.5" spans="1:12">
      <c r="A234" s="10">
        <v>230</v>
      </c>
      <c r="B234" s="11" t="s">
        <v>15</v>
      </c>
      <c r="C234" s="12" t="s">
        <v>788</v>
      </c>
      <c r="D234" s="12" t="s">
        <v>789</v>
      </c>
      <c r="E234" s="12"/>
      <c r="F234" s="12" t="s">
        <v>790</v>
      </c>
      <c r="G234" s="12" t="s">
        <v>19</v>
      </c>
      <c r="H234" s="12" t="s">
        <v>740</v>
      </c>
      <c r="I234" s="10" t="s">
        <v>21</v>
      </c>
      <c r="J234" s="12" t="s">
        <v>22</v>
      </c>
      <c r="K234" s="15" t="str">
        <f>_xlfn.DISPIMG("ID_907B2EBDBDCD4EA990250A3453D5FC13",1)</f>
        <v>=DISPIMG("ID_907B2EBDBDCD4EA990250A3453D5FC13",1)</v>
      </c>
      <c r="L234" s="11" t="str">
        <f>_xlfn.DISPIMG("ID_D983680ED9624A2F9EF58FC74A001AF3",1)</f>
        <v>=DISPIMG("ID_D983680ED9624A2F9EF58FC74A001AF3",1)</v>
      </c>
    </row>
    <row r="235" ht="409.5" spans="1:12">
      <c r="A235" s="10">
        <v>231</v>
      </c>
      <c r="B235" s="11" t="s">
        <v>15</v>
      </c>
      <c r="C235" s="12" t="s">
        <v>791</v>
      </c>
      <c r="D235" s="12" t="s">
        <v>792</v>
      </c>
      <c r="E235" s="12"/>
      <c r="F235" s="12" t="s">
        <v>793</v>
      </c>
      <c r="G235" s="12" t="s">
        <v>19</v>
      </c>
      <c r="H235" s="12" t="s">
        <v>794</v>
      </c>
      <c r="I235" s="10" t="s">
        <v>21</v>
      </c>
      <c r="J235" s="12" t="s">
        <v>22</v>
      </c>
      <c r="K235" s="15" t="str">
        <f>_xlfn.DISPIMG("ID_305ADE61C8A34DECAD1FBF77B7FD720E",1)</f>
        <v>=DISPIMG("ID_305ADE61C8A34DECAD1FBF77B7FD720E",1)</v>
      </c>
      <c r="L235" s="11" t="str">
        <f>_xlfn.DISPIMG("ID_E3E1A32F914748ACB5129A65C4B3F5C8",1)</f>
        <v>=DISPIMG("ID_E3E1A32F914748ACB5129A65C4B3F5C8",1)</v>
      </c>
    </row>
    <row r="236" ht="409.5" spans="1:12">
      <c r="A236" s="10">
        <v>232</v>
      </c>
      <c r="B236" s="11" t="s">
        <v>15</v>
      </c>
      <c r="C236" s="12" t="s">
        <v>795</v>
      </c>
      <c r="D236" s="12" t="s">
        <v>796</v>
      </c>
      <c r="E236" s="12"/>
      <c r="F236" s="12" t="s">
        <v>797</v>
      </c>
      <c r="G236" s="12" t="s">
        <v>19</v>
      </c>
      <c r="H236" s="12" t="s">
        <v>681</v>
      </c>
      <c r="I236" s="10" t="s">
        <v>21</v>
      </c>
      <c r="J236" s="12" t="s">
        <v>22</v>
      </c>
      <c r="K236" s="15" t="str">
        <f>_xlfn.DISPIMG("ID_EC6293717FA6442790EE22FAF54100E5",1)</f>
        <v>=DISPIMG("ID_EC6293717FA6442790EE22FAF54100E5",1)</v>
      </c>
      <c r="L236" s="11" t="str">
        <f>_xlfn.DISPIMG("ID_31C7DD7CA7E440E2BB459C6E08390481",1)</f>
        <v>=DISPIMG("ID_31C7DD7CA7E440E2BB459C6E08390481",1)</v>
      </c>
    </row>
    <row r="237" ht="409.5" spans="1:12">
      <c r="A237" s="10">
        <v>233</v>
      </c>
      <c r="B237" s="11" t="s">
        <v>15</v>
      </c>
      <c r="C237" s="12" t="s">
        <v>798</v>
      </c>
      <c r="D237" s="12" t="s">
        <v>799</v>
      </c>
      <c r="E237" s="12"/>
      <c r="F237" s="12" t="s">
        <v>800</v>
      </c>
      <c r="G237" s="12" t="s">
        <v>19</v>
      </c>
      <c r="H237" s="12" t="s">
        <v>681</v>
      </c>
      <c r="I237" s="10" t="s">
        <v>21</v>
      </c>
      <c r="J237" s="12" t="s">
        <v>22</v>
      </c>
      <c r="K237" s="15" t="str">
        <f>_xlfn.DISPIMG("ID_003E54F37B9945889A99B39C884CB8F2",1)</f>
        <v>=DISPIMG("ID_003E54F37B9945889A99B39C884CB8F2",1)</v>
      </c>
      <c r="L237" s="11" t="str">
        <f>_xlfn.DISPIMG("ID_2460A7EE21F94246BC2C6DF88E49DFBC",1)</f>
        <v>=DISPIMG("ID_2460A7EE21F94246BC2C6DF88E49DFBC",1)</v>
      </c>
    </row>
    <row r="238" ht="409.5" spans="1:12">
      <c r="A238" s="10">
        <v>234</v>
      </c>
      <c r="B238" s="11" t="s">
        <v>15</v>
      </c>
      <c r="C238" s="12" t="s">
        <v>801</v>
      </c>
      <c r="D238" s="12" t="s">
        <v>802</v>
      </c>
      <c r="E238" s="12"/>
      <c r="F238" s="12" t="s">
        <v>803</v>
      </c>
      <c r="G238" s="12" t="s">
        <v>19</v>
      </c>
      <c r="H238" s="12" t="s">
        <v>740</v>
      </c>
      <c r="I238" s="10" t="s">
        <v>21</v>
      </c>
      <c r="J238" s="12" t="s">
        <v>22</v>
      </c>
      <c r="K238" s="15" t="str">
        <f>_xlfn.DISPIMG("ID_F3CD666038DD4448BA4D99C3752D4249",1)</f>
        <v>=DISPIMG("ID_F3CD666038DD4448BA4D99C3752D4249",1)</v>
      </c>
      <c r="L238" s="11" t="str">
        <f>_xlfn.DISPIMG("ID_02C0762EDA454E5D8EA8C6E016A54B6E",1)</f>
        <v>=DISPIMG("ID_02C0762EDA454E5D8EA8C6E016A54B6E",1)</v>
      </c>
    </row>
    <row r="239" ht="409.5" spans="1:12">
      <c r="A239" s="10">
        <v>235</v>
      </c>
      <c r="B239" s="11" t="s">
        <v>15</v>
      </c>
      <c r="C239" s="12" t="s">
        <v>804</v>
      </c>
      <c r="D239" s="12" t="s">
        <v>805</v>
      </c>
      <c r="E239" s="12"/>
      <c r="F239" s="12" t="s">
        <v>806</v>
      </c>
      <c r="G239" s="12" t="s">
        <v>19</v>
      </c>
      <c r="H239" s="12" t="s">
        <v>740</v>
      </c>
      <c r="I239" s="10" t="s">
        <v>21</v>
      </c>
      <c r="J239" s="12" t="s">
        <v>22</v>
      </c>
      <c r="K239" s="15" t="str">
        <f>_xlfn.DISPIMG("ID_5A671FE25F42410196E194D4894A153E",1)</f>
        <v>=DISPIMG("ID_5A671FE25F42410196E194D4894A153E",1)</v>
      </c>
      <c r="L239" s="11" t="str">
        <f>_xlfn.DISPIMG("ID_A0D487BC386A45968091851D590A6992",1)</f>
        <v>=DISPIMG("ID_A0D487BC386A45968091851D590A6992",1)</v>
      </c>
    </row>
    <row r="240" ht="409.5" spans="1:12">
      <c r="A240" s="10">
        <v>236</v>
      </c>
      <c r="B240" s="11" t="s">
        <v>15</v>
      </c>
      <c r="C240" s="12" t="s">
        <v>807</v>
      </c>
      <c r="D240" s="12" t="s">
        <v>808</v>
      </c>
      <c r="E240" s="12"/>
      <c r="F240" s="12" t="s">
        <v>809</v>
      </c>
      <c r="G240" s="12" t="s">
        <v>19</v>
      </c>
      <c r="H240" s="12" t="s">
        <v>810</v>
      </c>
      <c r="I240" s="10" t="s">
        <v>21</v>
      </c>
      <c r="J240" s="12" t="s">
        <v>22</v>
      </c>
      <c r="K240" s="15" t="str">
        <f>_xlfn.DISPIMG("ID_4C30CD9ED54E4CABBEACE3A7EC1E6008",1)</f>
        <v>=DISPIMG("ID_4C30CD9ED54E4CABBEACE3A7EC1E6008",1)</v>
      </c>
      <c r="L240" s="11" t="str">
        <f>_xlfn.DISPIMG("ID_B924E473193E414A88FA27356BB7F251",1)</f>
        <v>=DISPIMG("ID_B924E473193E414A88FA27356BB7F251",1)</v>
      </c>
    </row>
    <row r="241" ht="409" customHeight="1" spans="1:12">
      <c r="A241" s="10">
        <v>237</v>
      </c>
      <c r="B241" s="16" t="s">
        <v>15</v>
      </c>
      <c r="C241" s="17" t="s">
        <v>811</v>
      </c>
      <c r="D241" s="17" t="s">
        <v>812</v>
      </c>
      <c r="E241" s="12"/>
      <c r="F241" s="12" t="s">
        <v>813</v>
      </c>
      <c r="G241" s="12" t="s">
        <v>814</v>
      </c>
      <c r="H241" s="12" t="s">
        <v>815</v>
      </c>
      <c r="I241" s="10" t="s">
        <v>21</v>
      </c>
      <c r="J241" s="12" t="s">
        <v>22</v>
      </c>
      <c r="K241" s="15" t="str">
        <f>_xlfn.DISPIMG("ID_9C1DC2A1955145BAA261F63531F6B148",1)</f>
        <v>=DISPIMG("ID_9C1DC2A1955145BAA261F63531F6B148",1)</v>
      </c>
      <c r="L241" s="11" t="str">
        <f>_xlfn.DISPIMG("ID_558EBD569148403DA268F4556ADB68BF",1)</f>
        <v>=DISPIMG("ID_558EBD569148403DA268F4556ADB68BF",1)</v>
      </c>
    </row>
    <row r="242" ht="409.5" spans="1:12">
      <c r="A242" s="18">
        <v>238</v>
      </c>
      <c r="B242" s="16" t="s">
        <v>15</v>
      </c>
      <c r="C242" s="17" t="s">
        <v>816</v>
      </c>
      <c r="D242" s="17" t="s">
        <v>817</v>
      </c>
      <c r="E242" s="17"/>
      <c r="F242" s="12" t="s">
        <v>818</v>
      </c>
      <c r="G242" s="12" t="s">
        <v>819</v>
      </c>
      <c r="H242" s="12" t="s">
        <v>820</v>
      </c>
      <c r="I242" s="10" t="s">
        <v>21</v>
      </c>
      <c r="J242" s="12" t="s">
        <v>22</v>
      </c>
      <c r="K242" s="15" t="str">
        <f>_xlfn.DISPIMG("ID_28396112276F410A933C0ADC7DFF1337",1)</f>
        <v>=DISPIMG("ID_28396112276F410A933C0ADC7DFF1337",1)</v>
      </c>
      <c r="L242" s="11" t="str">
        <f>_xlfn.DISPIMG("ID_20B5FB27DDA94A91AF002105DE154E7A",1)</f>
        <v>=DISPIMG("ID_20B5FB27DDA94A91AF002105DE154E7A",1)</v>
      </c>
    </row>
    <row r="243" ht="409.5" spans="1:12">
      <c r="A243" s="18">
        <v>239</v>
      </c>
      <c r="B243" s="16" t="s">
        <v>15</v>
      </c>
      <c r="C243" s="17" t="s">
        <v>821</v>
      </c>
      <c r="D243" s="17" t="s">
        <v>822</v>
      </c>
      <c r="E243" s="12"/>
      <c r="F243" s="12" t="s">
        <v>823</v>
      </c>
      <c r="G243" s="12" t="s">
        <v>819</v>
      </c>
      <c r="H243" s="12" t="s">
        <v>820</v>
      </c>
      <c r="I243" s="10" t="s">
        <v>21</v>
      </c>
      <c r="J243" s="12" t="s">
        <v>22</v>
      </c>
      <c r="K243" s="15" t="str">
        <f>_xlfn.DISPIMG("ID_24D78729477C4AF091E8A2F37989C39B",1)</f>
        <v>=DISPIMG("ID_24D78729477C4AF091E8A2F37989C39B",1)</v>
      </c>
      <c r="L243" s="11" t="str">
        <f>_xlfn.DISPIMG("ID_9627EBED38C34BBDABA6746FD5679EDD",1)</f>
        <v>=DISPIMG("ID_9627EBED38C34BBDABA6746FD5679EDD",1)</v>
      </c>
    </row>
    <row r="244" ht="409.5" spans="1:12">
      <c r="A244" s="10">
        <v>240</v>
      </c>
      <c r="B244" s="16" t="s">
        <v>15</v>
      </c>
      <c r="C244" s="17" t="s">
        <v>824</v>
      </c>
      <c r="D244" s="17" t="s">
        <v>825</v>
      </c>
      <c r="E244" s="17"/>
      <c r="F244" s="12" t="s">
        <v>826</v>
      </c>
      <c r="G244" s="12" t="s">
        <v>819</v>
      </c>
      <c r="H244" s="12" t="s">
        <v>820</v>
      </c>
      <c r="I244" s="10" t="s">
        <v>21</v>
      </c>
      <c r="J244" s="12" t="s">
        <v>22</v>
      </c>
      <c r="K244" s="15" t="str">
        <f>_xlfn.DISPIMG("ID_A0FE7FDCC171420D8AA053C11D616158",1)</f>
        <v>=DISPIMG("ID_A0FE7FDCC171420D8AA053C11D616158",1)</v>
      </c>
      <c r="L244" s="11" t="str">
        <f>_xlfn.DISPIMG("ID_ECBDE934FB5F4B939E26110EA210DCD7",1)</f>
        <v>=DISPIMG("ID_ECBDE934FB5F4B939E26110EA210DCD7",1)</v>
      </c>
    </row>
    <row r="245" ht="409.5" spans="1:12">
      <c r="A245" s="18">
        <v>241</v>
      </c>
      <c r="B245" s="16" t="s">
        <v>15</v>
      </c>
      <c r="C245" s="17" t="s">
        <v>827</v>
      </c>
      <c r="D245" s="17" t="s">
        <v>828</v>
      </c>
      <c r="E245" s="12"/>
      <c r="F245" s="12" t="s">
        <v>829</v>
      </c>
      <c r="G245" s="12" t="s">
        <v>819</v>
      </c>
      <c r="H245" s="12" t="s">
        <v>820</v>
      </c>
      <c r="I245" s="10" t="s">
        <v>21</v>
      </c>
      <c r="J245" s="12" t="s">
        <v>22</v>
      </c>
      <c r="K245" s="15" t="str">
        <f>_xlfn.DISPIMG("ID_79D7CE4428FC45F6A3C90CD2A8B1657E",1)</f>
        <v>=DISPIMG("ID_79D7CE4428FC45F6A3C90CD2A8B1657E",1)</v>
      </c>
      <c r="L245" s="11" t="str">
        <f>_xlfn.DISPIMG("ID_88CE2F45313C4533A0C45C0DFC2CE80D",1)</f>
        <v>=DISPIMG("ID_88CE2F45313C4533A0C45C0DFC2CE80D",1)</v>
      </c>
    </row>
    <row r="246" ht="409.5" spans="1:12">
      <c r="A246" s="18">
        <v>242</v>
      </c>
      <c r="B246" s="16" t="s">
        <v>15</v>
      </c>
      <c r="C246" s="17" t="s">
        <v>830</v>
      </c>
      <c r="D246" s="17" t="s">
        <v>831</v>
      </c>
      <c r="E246" s="12"/>
      <c r="F246" s="12" t="s">
        <v>832</v>
      </c>
      <c r="G246" s="12" t="s">
        <v>819</v>
      </c>
      <c r="H246" s="12" t="s">
        <v>820</v>
      </c>
      <c r="I246" s="10" t="s">
        <v>21</v>
      </c>
      <c r="J246" s="12" t="s">
        <v>22</v>
      </c>
      <c r="K246" s="15" t="str">
        <f>_xlfn.DISPIMG("ID_A2A1E91223894745A2DB73190CA22AE4",1)</f>
        <v>=DISPIMG("ID_A2A1E91223894745A2DB73190CA22AE4",1)</v>
      </c>
      <c r="L246" s="11" t="str">
        <f>_xlfn.DISPIMG("ID_810827EEF3924830AEAE8F840004A026",1)</f>
        <v>=DISPIMG("ID_810827EEF3924830AEAE8F840004A026",1)</v>
      </c>
    </row>
    <row r="247" ht="409.5" spans="1:12">
      <c r="A247" s="18">
        <v>243</v>
      </c>
      <c r="B247" s="16" t="s">
        <v>15</v>
      </c>
      <c r="C247" s="17" t="s">
        <v>833</v>
      </c>
      <c r="D247" s="17" t="s">
        <v>834</v>
      </c>
      <c r="E247" s="12"/>
      <c r="F247" s="12" t="s">
        <v>835</v>
      </c>
      <c r="G247" s="12" t="s">
        <v>819</v>
      </c>
      <c r="H247" s="12" t="s">
        <v>820</v>
      </c>
      <c r="I247" s="10" t="s">
        <v>21</v>
      </c>
      <c r="J247" s="12" t="s">
        <v>22</v>
      </c>
      <c r="K247" s="15" t="str">
        <f>_xlfn.DISPIMG("ID_483E64C9B7A847F3B346D45DEFF5393E",1)</f>
        <v>=DISPIMG("ID_483E64C9B7A847F3B346D45DEFF5393E",1)</v>
      </c>
      <c r="L247" s="11" t="str">
        <f>_xlfn.DISPIMG("ID_EACF8F79085D45599E343B74C0E19419",1)</f>
        <v>=DISPIMG("ID_EACF8F79085D45599E343B74C0E19419",1)</v>
      </c>
    </row>
    <row r="248" ht="409.5" spans="1:12">
      <c r="A248" s="18">
        <v>244</v>
      </c>
      <c r="B248" s="16" t="s">
        <v>15</v>
      </c>
      <c r="C248" s="17" t="s">
        <v>836</v>
      </c>
      <c r="D248" s="17" t="s">
        <v>837</v>
      </c>
      <c r="E248" s="12"/>
      <c r="F248" s="12" t="s">
        <v>838</v>
      </c>
      <c r="G248" s="12" t="s">
        <v>819</v>
      </c>
      <c r="H248" s="12" t="s">
        <v>820</v>
      </c>
      <c r="I248" s="10" t="s">
        <v>21</v>
      </c>
      <c r="J248" s="12" t="s">
        <v>22</v>
      </c>
      <c r="K248" s="15" t="str">
        <f>_xlfn.DISPIMG("ID_0739B4FB49954088811ED5DEA3F1FA47",1)</f>
        <v>=DISPIMG("ID_0739B4FB49954088811ED5DEA3F1FA47",1)</v>
      </c>
      <c r="L248" s="11" t="str">
        <f>_xlfn.DISPIMG("ID_4BACCDD7C31B455CB9B0A2CAFC584964",1)</f>
        <v>=DISPIMG("ID_4BACCDD7C31B455CB9B0A2CAFC584964",1)</v>
      </c>
    </row>
    <row r="249" ht="409.5" spans="1:12">
      <c r="A249" s="18">
        <v>245</v>
      </c>
      <c r="B249" s="16" t="s">
        <v>15</v>
      </c>
      <c r="C249" s="17" t="s">
        <v>839</v>
      </c>
      <c r="D249" s="17" t="s">
        <v>840</v>
      </c>
      <c r="E249" s="17"/>
      <c r="F249" s="12" t="s">
        <v>841</v>
      </c>
      <c r="G249" s="12" t="s">
        <v>819</v>
      </c>
      <c r="H249" s="12" t="s">
        <v>820</v>
      </c>
      <c r="I249" s="10" t="s">
        <v>21</v>
      </c>
      <c r="J249" s="12" t="s">
        <v>22</v>
      </c>
      <c r="K249" s="15" t="str">
        <f>_xlfn.DISPIMG("ID_F2817C3D25D64A0C80D28F2C28707159",1)</f>
        <v>=DISPIMG("ID_F2817C3D25D64A0C80D28F2C28707159",1)</v>
      </c>
      <c r="L249" s="11" t="str">
        <f>_xlfn.DISPIMG("ID_20799047C0EE49A88CBAD368B9E090DD",1)</f>
        <v>=DISPIMG("ID_20799047C0EE49A88CBAD368B9E090DD",1)</v>
      </c>
    </row>
    <row r="250" ht="409.5" spans="1:12">
      <c r="A250" s="18">
        <v>246</v>
      </c>
      <c r="B250" s="16" t="s">
        <v>15</v>
      </c>
      <c r="C250" s="17" t="s">
        <v>842</v>
      </c>
      <c r="D250" s="17" t="s">
        <v>843</v>
      </c>
      <c r="E250" s="17"/>
      <c r="F250" s="12" t="s">
        <v>844</v>
      </c>
      <c r="G250" s="12" t="s">
        <v>819</v>
      </c>
      <c r="H250" s="12" t="s">
        <v>820</v>
      </c>
      <c r="I250" s="10" t="s">
        <v>21</v>
      </c>
      <c r="J250" s="12" t="s">
        <v>22</v>
      </c>
      <c r="K250" s="15" t="str">
        <f>_xlfn.DISPIMG("ID_18A1E3C6461C44E28FF3136AC1CD1298",1)</f>
        <v>=DISPIMG("ID_18A1E3C6461C44E28FF3136AC1CD1298",1)</v>
      </c>
      <c r="L250" s="11" t="str">
        <f>_xlfn.DISPIMG("ID_3DAFC547467F4EE18C0F3021421B9808",1)</f>
        <v>=DISPIMG("ID_3DAFC547467F4EE18C0F3021421B9808",1)</v>
      </c>
    </row>
    <row r="251" ht="409.5" spans="1:12">
      <c r="A251" s="18">
        <v>247</v>
      </c>
      <c r="B251" s="16" t="s">
        <v>15</v>
      </c>
      <c r="C251" s="17" t="s">
        <v>845</v>
      </c>
      <c r="D251" s="17" t="s">
        <v>846</v>
      </c>
      <c r="E251" s="12"/>
      <c r="F251" s="12" t="s">
        <v>847</v>
      </c>
      <c r="G251" s="12" t="s">
        <v>819</v>
      </c>
      <c r="H251" s="12" t="s">
        <v>820</v>
      </c>
      <c r="I251" s="10" t="s">
        <v>21</v>
      </c>
      <c r="J251" s="12" t="s">
        <v>22</v>
      </c>
      <c r="K251" s="15" t="str">
        <f>_xlfn.DISPIMG("ID_004C5003FCD642369046FDBDC38F926E",1)</f>
        <v>=DISPIMG("ID_004C5003FCD642369046FDBDC38F926E",1)</v>
      </c>
      <c r="L251" s="11" t="str">
        <f>_xlfn.DISPIMG("ID_4049371AAC8F45A9A59898ACC84E8D0C",1)</f>
        <v>=DISPIMG("ID_4049371AAC8F45A9A59898ACC84E8D0C",1)</v>
      </c>
    </row>
    <row r="252" ht="409.5" spans="1:12">
      <c r="A252" s="18">
        <v>248</v>
      </c>
      <c r="B252" s="16" t="s">
        <v>15</v>
      </c>
      <c r="C252" s="17" t="s">
        <v>848</v>
      </c>
      <c r="D252" s="17" t="s">
        <v>849</v>
      </c>
      <c r="E252" s="12"/>
      <c r="F252" s="12" t="s">
        <v>850</v>
      </c>
      <c r="G252" s="12" t="s">
        <v>819</v>
      </c>
      <c r="H252" s="12" t="s">
        <v>820</v>
      </c>
      <c r="I252" s="10" t="s">
        <v>21</v>
      </c>
      <c r="J252" s="12" t="s">
        <v>22</v>
      </c>
      <c r="K252" s="15" t="str">
        <f>_xlfn.DISPIMG("ID_368066DF1D484D94A4707C5598753AFB",1)</f>
        <v>=DISPIMG("ID_368066DF1D484D94A4707C5598753AFB",1)</v>
      </c>
      <c r="L252" s="11" t="str">
        <f>_xlfn.DISPIMG("ID_0AB4C7ADF44C4036A33935212041E1AD",1)</f>
        <v>=DISPIMG("ID_0AB4C7ADF44C4036A33935212041E1AD",1)</v>
      </c>
    </row>
    <row r="253" ht="409.5" spans="1:12">
      <c r="A253" s="18">
        <v>249</v>
      </c>
      <c r="B253" s="16" t="s">
        <v>15</v>
      </c>
      <c r="C253" s="17" t="s">
        <v>851</v>
      </c>
      <c r="D253" s="17" t="s">
        <v>852</v>
      </c>
      <c r="E253" s="12"/>
      <c r="F253" s="12" t="s">
        <v>853</v>
      </c>
      <c r="G253" s="12" t="s">
        <v>819</v>
      </c>
      <c r="H253" s="12" t="s">
        <v>820</v>
      </c>
      <c r="I253" s="10" t="s">
        <v>21</v>
      </c>
      <c r="J253" s="12" t="s">
        <v>22</v>
      </c>
      <c r="K253" s="15" t="str">
        <f>_xlfn.DISPIMG("ID_17893582902941E4908A0240AB9FA57E",1)</f>
        <v>=DISPIMG("ID_17893582902941E4908A0240AB9FA57E",1)</v>
      </c>
      <c r="L253" s="11" t="str">
        <f>_xlfn.DISPIMG("ID_85AD0C7CE6B44E38BDB369E5EA49687B",1)</f>
        <v>=DISPIMG("ID_85AD0C7CE6B44E38BDB369E5EA49687B",1)</v>
      </c>
    </row>
    <row r="254" ht="409.5" spans="1:12">
      <c r="A254" s="18">
        <v>250</v>
      </c>
      <c r="B254" s="16" t="s">
        <v>15</v>
      </c>
      <c r="C254" s="17" t="s">
        <v>854</v>
      </c>
      <c r="D254" s="17" t="s">
        <v>855</v>
      </c>
      <c r="E254" s="12"/>
      <c r="F254" s="12" t="s">
        <v>856</v>
      </c>
      <c r="G254" s="12" t="s">
        <v>819</v>
      </c>
      <c r="H254" s="12" t="s">
        <v>820</v>
      </c>
      <c r="I254" s="10" t="s">
        <v>21</v>
      </c>
      <c r="J254" s="12" t="s">
        <v>22</v>
      </c>
      <c r="K254" s="15" t="str">
        <f>_xlfn.DISPIMG("ID_75A0693F0EEA41078AC27B37E078D2A3",1)</f>
        <v>=DISPIMG("ID_75A0693F0EEA41078AC27B37E078D2A3",1)</v>
      </c>
      <c r="L254" s="11" t="str">
        <f>_xlfn.DISPIMG("ID_46F1AAAFB19242838CA181360A6B873D",1)</f>
        <v>=DISPIMG("ID_46F1AAAFB19242838CA181360A6B873D",1)</v>
      </c>
    </row>
    <row r="255" ht="409.5" spans="1:12">
      <c r="A255" s="18">
        <v>251</v>
      </c>
      <c r="B255" s="16" t="s">
        <v>15</v>
      </c>
      <c r="C255" s="17" t="s">
        <v>857</v>
      </c>
      <c r="D255" s="17" t="s">
        <v>858</v>
      </c>
      <c r="E255" s="12"/>
      <c r="F255" s="12" t="s">
        <v>859</v>
      </c>
      <c r="G255" s="12" t="s">
        <v>819</v>
      </c>
      <c r="H255" s="12" t="s">
        <v>820</v>
      </c>
      <c r="I255" s="10" t="s">
        <v>21</v>
      </c>
      <c r="J255" s="12" t="s">
        <v>22</v>
      </c>
      <c r="K255" s="15" t="str">
        <f>_xlfn.DISPIMG("ID_C02CC366247A413C8F32BE7C7C8B1090",1)</f>
        <v>=DISPIMG("ID_C02CC366247A413C8F32BE7C7C8B1090",1)</v>
      </c>
      <c r="L255" s="11" t="str">
        <f>_xlfn.DISPIMG("ID_3BECF800D57B4090998C0C1A26C9A48B",1)</f>
        <v>=DISPIMG("ID_3BECF800D57B4090998C0C1A26C9A48B",1)</v>
      </c>
    </row>
    <row r="256" ht="409.5" spans="1:12">
      <c r="A256" s="18">
        <v>252</v>
      </c>
      <c r="B256" s="16" t="s">
        <v>15</v>
      </c>
      <c r="C256" s="17" t="s">
        <v>860</v>
      </c>
      <c r="D256" s="17" t="s">
        <v>861</v>
      </c>
      <c r="E256" s="12"/>
      <c r="F256" s="12" t="s">
        <v>862</v>
      </c>
      <c r="G256" s="12" t="s">
        <v>819</v>
      </c>
      <c r="H256" s="12" t="s">
        <v>820</v>
      </c>
      <c r="I256" s="10" t="s">
        <v>21</v>
      </c>
      <c r="J256" s="12" t="s">
        <v>22</v>
      </c>
      <c r="K256" s="15" t="str">
        <f>_xlfn.DISPIMG("ID_D8DE6CB3AF674A8CAEDD7F97C6501E7B",1)</f>
        <v>=DISPIMG("ID_D8DE6CB3AF674A8CAEDD7F97C6501E7B",1)</v>
      </c>
      <c r="L256" s="11" t="str">
        <f>_xlfn.DISPIMG("ID_1B851B7A11A8423FB0CCC17A6EB5D998",1)</f>
        <v>=DISPIMG("ID_1B851B7A11A8423FB0CCC17A6EB5D998",1)</v>
      </c>
    </row>
    <row r="257" ht="409.5" spans="1:12">
      <c r="A257" s="18">
        <v>253</v>
      </c>
      <c r="B257" s="16" t="s">
        <v>15</v>
      </c>
      <c r="C257" s="17" t="s">
        <v>863</v>
      </c>
      <c r="D257" s="17" t="s">
        <v>864</v>
      </c>
      <c r="E257" s="17"/>
      <c r="F257" s="12" t="s">
        <v>865</v>
      </c>
      <c r="G257" s="12" t="s">
        <v>819</v>
      </c>
      <c r="H257" s="12" t="s">
        <v>820</v>
      </c>
      <c r="I257" s="10" t="s">
        <v>21</v>
      </c>
      <c r="J257" s="12" t="s">
        <v>22</v>
      </c>
      <c r="K257" s="15" t="str">
        <f>_xlfn.DISPIMG("ID_8D26CE76685C49BBA8A28117F61858A3",1)</f>
        <v>=DISPIMG("ID_8D26CE76685C49BBA8A28117F61858A3",1)</v>
      </c>
      <c r="L257" s="11" t="str">
        <f>_xlfn.DISPIMG("ID_83C005F43DC94CA6851C6E399B7914C6",1)</f>
        <v>=DISPIMG("ID_83C005F43DC94CA6851C6E399B7914C6",1)</v>
      </c>
    </row>
    <row r="258" ht="409.5" spans="1:12">
      <c r="A258" s="10">
        <v>254</v>
      </c>
      <c r="B258" s="11" t="s">
        <v>866</v>
      </c>
      <c r="C258" s="19" t="s">
        <v>867</v>
      </c>
      <c r="D258" s="20" t="s">
        <v>868</v>
      </c>
      <c r="E258" s="21"/>
      <c r="F258" s="20" t="s">
        <v>869</v>
      </c>
      <c r="G258" s="22" t="s">
        <v>870</v>
      </c>
      <c r="H258" s="20" t="s">
        <v>871</v>
      </c>
      <c r="I258" s="10" t="s">
        <v>21</v>
      </c>
      <c r="J258" s="12" t="s">
        <v>22</v>
      </c>
      <c r="K258" s="15" t="str">
        <f>_xlfn.DISPIMG("ID_BED5659060104F9DA67E873227B2D12E",1)</f>
        <v>=DISPIMG("ID_BED5659060104F9DA67E873227B2D12E",1)</v>
      </c>
      <c r="L258" s="11" t="str">
        <f>_xlfn.DISPIMG("ID_DDD56DC696744D50948A54EDB4EE39F6",1)</f>
        <v>=DISPIMG("ID_DDD56DC696744D50948A54EDB4EE39F6",1)</v>
      </c>
    </row>
    <row r="259" ht="409.5" spans="1:12">
      <c r="A259" s="10">
        <v>255</v>
      </c>
      <c r="B259" s="11" t="s">
        <v>866</v>
      </c>
      <c r="C259" s="19" t="s">
        <v>872</v>
      </c>
      <c r="D259" s="20" t="s">
        <v>873</v>
      </c>
      <c r="E259" s="21"/>
      <c r="F259" s="20" t="s">
        <v>874</v>
      </c>
      <c r="G259" s="22" t="s">
        <v>875</v>
      </c>
      <c r="H259" s="20" t="s">
        <v>876</v>
      </c>
      <c r="I259" s="10" t="s">
        <v>21</v>
      </c>
      <c r="J259" s="12" t="s">
        <v>22</v>
      </c>
      <c r="K259" s="15" t="str">
        <f>_xlfn.DISPIMG("ID_71B93D41BF014CAAAB2FAEBCB95510ED",1)</f>
        <v>=DISPIMG("ID_71B93D41BF014CAAAB2FAEBCB95510ED",1)</v>
      </c>
      <c r="L259" s="11" t="str">
        <f>_xlfn.DISPIMG("ID_DE477B37AF164AC3A97D64CC5242FE29",1)</f>
        <v>=DISPIMG("ID_DE477B37AF164AC3A97D64CC5242FE29",1)</v>
      </c>
    </row>
    <row r="260" ht="409.5" spans="1:12">
      <c r="A260" s="10">
        <v>256</v>
      </c>
      <c r="B260" s="11" t="s">
        <v>866</v>
      </c>
      <c r="C260" s="19" t="s">
        <v>877</v>
      </c>
      <c r="D260" s="20" t="s">
        <v>878</v>
      </c>
      <c r="E260" s="23"/>
      <c r="F260" s="20" t="s">
        <v>879</v>
      </c>
      <c r="G260" s="22" t="s">
        <v>880</v>
      </c>
      <c r="H260" s="20" t="s">
        <v>881</v>
      </c>
      <c r="I260" s="10" t="s">
        <v>21</v>
      </c>
      <c r="J260" s="12" t="s">
        <v>22</v>
      </c>
      <c r="K260" s="15" t="str">
        <f>_xlfn.DISPIMG("ID_354110A9586E4920BB2CD5A0307472D8",1)</f>
        <v>=DISPIMG("ID_354110A9586E4920BB2CD5A0307472D8",1)</v>
      </c>
      <c r="L260" s="11" t="str">
        <f>_xlfn.DISPIMG("ID_5CE5E26D227A47359361AB041D6815F8",1)</f>
        <v>=DISPIMG("ID_5CE5E26D227A47359361AB041D6815F8",1)</v>
      </c>
    </row>
    <row r="261" ht="226.5" spans="1:12">
      <c r="A261" s="10">
        <v>257</v>
      </c>
      <c r="B261" s="11" t="s">
        <v>866</v>
      </c>
      <c r="C261" s="19" t="s">
        <v>882</v>
      </c>
      <c r="D261" s="21" t="s">
        <v>883</v>
      </c>
      <c r="E261" s="21"/>
      <c r="F261" s="21" t="s">
        <v>884</v>
      </c>
      <c r="G261" s="21" t="s">
        <v>885</v>
      </c>
      <c r="H261" s="21" t="s">
        <v>886</v>
      </c>
      <c r="I261" s="10" t="s">
        <v>21</v>
      </c>
      <c r="J261" s="12" t="s">
        <v>22</v>
      </c>
      <c r="K261" s="15" t="str">
        <f>_xlfn.DISPIMG("ID_7EAA26FBD10D42209DD3096E26D09F7B",1)</f>
        <v>=DISPIMG("ID_7EAA26FBD10D42209DD3096E26D09F7B",1)</v>
      </c>
      <c r="L261" s="11" t="str">
        <f>_xlfn.DISPIMG("ID_5AF4C0D0D46242AA8C6FA36DC7BD9869",1)</f>
        <v>=DISPIMG("ID_5AF4C0D0D46242AA8C6FA36DC7BD9869",1)</v>
      </c>
    </row>
    <row r="262" ht="409.5" spans="1:12">
      <c r="A262" s="10">
        <v>258</v>
      </c>
      <c r="B262" s="11" t="s">
        <v>887</v>
      </c>
      <c r="C262" s="19" t="s">
        <v>888</v>
      </c>
      <c r="D262" s="21" t="s">
        <v>889</v>
      </c>
      <c r="E262" s="21"/>
      <c r="F262" s="21" t="s">
        <v>890</v>
      </c>
      <c r="G262" s="21" t="s">
        <v>891</v>
      </c>
      <c r="H262" s="20" t="s">
        <v>892</v>
      </c>
      <c r="I262" s="10" t="s">
        <v>21</v>
      </c>
      <c r="J262" s="12" t="s">
        <v>22</v>
      </c>
      <c r="K262" s="15" t="str">
        <f>_xlfn.DISPIMG("ID_AB471285F013492EB78D422AAB317CC5",1)</f>
        <v>=DISPIMG("ID_AB471285F013492EB78D422AAB317CC5",1)</v>
      </c>
      <c r="L262" s="11" t="str">
        <f>_xlfn.DISPIMG("ID_0DC48562CCC141DBAA14E0BF56103D77",1)</f>
        <v>=DISPIMG("ID_0DC48562CCC141DBAA14E0BF56103D77",1)</v>
      </c>
    </row>
    <row r="263" s="1" customFormat="1" ht="182" spans="1:12">
      <c r="A263" s="24">
        <v>259</v>
      </c>
      <c r="B263" s="25" t="s">
        <v>893</v>
      </c>
      <c r="C263" s="19" t="s">
        <v>894</v>
      </c>
      <c r="D263" s="21" t="s">
        <v>895</v>
      </c>
      <c r="E263" s="21"/>
      <c r="F263" s="21" t="s">
        <v>896</v>
      </c>
      <c r="G263" s="21" t="s">
        <v>897</v>
      </c>
      <c r="H263" s="20" t="s">
        <v>898</v>
      </c>
      <c r="I263" s="24" t="s">
        <v>21</v>
      </c>
      <c r="J263" s="29" t="s">
        <v>22</v>
      </c>
      <c r="K263" s="30" t="str">
        <f>_xlfn.DISPIMG("ID_8FCEC924ACA9493C9F6488BE6821769F",1)</f>
        <v>=DISPIMG("ID_8FCEC924ACA9493C9F6488BE6821769F",1)</v>
      </c>
      <c r="L263" s="25" t="str">
        <f>_xlfn.DISPIMG("ID_24B8E6A804144C8FBB82FD663CEF5003",1)</f>
        <v>=DISPIMG("ID_24B8E6A804144C8FBB82FD663CEF5003",1)</v>
      </c>
    </row>
    <row r="264" ht="409.5" spans="1:12">
      <c r="A264" s="10">
        <v>260</v>
      </c>
      <c r="B264" s="11" t="s">
        <v>893</v>
      </c>
      <c r="C264" s="19" t="s">
        <v>899</v>
      </c>
      <c r="D264" s="21" t="s">
        <v>900</v>
      </c>
      <c r="E264" s="21"/>
      <c r="F264" s="21" t="s">
        <v>901</v>
      </c>
      <c r="G264" s="21" t="s">
        <v>902</v>
      </c>
      <c r="H264" s="21" t="s">
        <v>903</v>
      </c>
      <c r="I264" s="10" t="s">
        <v>21</v>
      </c>
      <c r="J264" s="12" t="s">
        <v>22</v>
      </c>
      <c r="K264" s="30" t="str">
        <f>_xlfn.DISPIMG("ID_8FCEC924ACA9493C9F6488BE6821769F",1)</f>
        <v>=DISPIMG("ID_8FCEC924ACA9493C9F6488BE6821769F",1)</v>
      </c>
      <c r="L264" s="11" t="str">
        <f>_xlfn.DISPIMG("ID_3710CC8D0C114AB4BC21F349C3CA8610",1)</f>
        <v>=DISPIMG("ID_3710CC8D0C114AB4BC21F349C3CA8610",1)</v>
      </c>
    </row>
    <row r="265" ht="409.5" spans="1:12">
      <c r="A265" s="10">
        <v>261</v>
      </c>
      <c r="B265" s="12" t="s">
        <v>904</v>
      </c>
      <c r="C265" s="26" t="s">
        <v>905</v>
      </c>
      <c r="D265" s="21" t="s">
        <v>906</v>
      </c>
      <c r="E265" s="21"/>
      <c r="F265" s="21" t="s">
        <v>907</v>
      </c>
      <c r="G265" s="21" t="s">
        <v>908</v>
      </c>
      <c r="H265" s="20" t="s">
        <v>909</v>
      </c>
      <c r="I265" s="10" t="s">
        <v>21</v>
      </c>
      <c r="J265" s="12" t="s">
        <v>22</v>
      </c>
      <c r="K265" s="15" t="str">
        <f>_xlfn.DISPIMG("ID_8B644308CFBF487F865220E1699D7CEB",1)</f>
        <v>=DISPIMG("ID_8B644308CFBF487F865220E1699D7CEB",1)</v>
      </c>
      <c r="L265" s="11" t="str">
        <f>_xlfn.DISPIMG("ID_61C8B3897565462E979B9747DD887050",1)</f>
        <v>=DISPIMG("ID_61C8B3897565462E979B9747DD887050",1)</v>
      </c>
    </row>
    <row r="266" ht="409.5" spans="1:12">
      <c r="A266" s="10">
        <v>262</v>
      </c>
      <c r="B266" s="12" t="s">
        <v>904</v>
      </c>
      <c r="C266" s="19" t="s">
        <v>910</v>
      </c>
      <c r="D266" s="21" t="s">
        <v>911</v>
      </c>
      <c r="E266" s="21"/>
      <c r="F266" s="21" t="s">
        <v>912</v>
      </c>
      <c r="G266" s="21" t="s">
        <v>913</v>
      </c>
      <c r="H266" s="20" t="s">
        <v>914</v>
      </c>
      <c r="I266" s="10" t="s">
        <v>21</v>
      </c>
      <c r="J266" s="12" t="s">
        <v>22</v>
      </c>
      <c r="K266" s="15" t="str">
        <f>_xlfn.DISPIMG("ID_828E6FB4D87C4C3B89603F7F7B28BA50",1)</f>
        <v>=DISPIMG("ID_828E6FB4D87C4C3B89603F7F7B28BA50",1)</v>
      </c>
      <c r="L266" s="11" t="str">
        <f>_xlfn.DISPIMG("ID_7C3EDCE3C7D5497FB40A5FBC49B7ACD1",1)</f>
        <v>=DISPIMG("ID_7C3EDCE3C7D5497FB40A5FBC49B7ACD1",1)</v>
      </c>
    </row>
    <row r="267" ht="409.5" spans="1:12">
      <c r="A267" s="10">
        <v>263</v>
      </c>
      <c r="B267" s="12" t="s">
        <v>904</v>
      </c>
      <c r="C267" s="19" t="s">
        <v>915</v>
      </c>
      <c r="D267" s="21" t="s">
        <v>916</v>
      </c>
      <c r="E267" s="21"/>
      <c r="F267" s="21" t="s">
        <v>917</v>
      </c>
      <c r="G267" s="21" t="s">
        <v>918</v>
      </c>
      <c r="H267" s="27" t="s">
        <v>919</v>
      </c>
      <c r="I267" s="10" t="s">
        <v>21</v>
      </c>
      <c r="J267" s="12" t="s">
        <v>22</v>
      </c>
      <c r="K267" s="15" t="str">
        <f>_xlfn.DISPIMG("ID_C27925CB6C0E490693A3E65FEC26B60F",1)</f>
        <v>=DISPIMG("ID_C27925CB6C0E490693A3E65FEC26B60F",1)</v>
      </c>
      <c r="L267" s="11" t="str">
        <f>_xlfn.DISPIMG("ID_E7690871E44845979AF8046A24F28FBC",1)</f>
        <v>=DISPIMG("ID_E7690871E44845979AF8046A24F28FBC",1)</v>
      </c>
    </row>
    <row r="268" ht="409.5" spans="1:12">
      <c r="A268" s="10">
        <v>264</v>
      </c>
      <c r="B268" s="12" t="s">
        <v>904</v>
      </c>
      <c r="C268" s="19" t="s">
        <v>920</v>
      </c>
      <c r="D268" s="21" t="s">
        <v>921</v>
      </c>
      <c r="E268" s="21"/>
      <c r="F268" s="21" t="s">
        <v>922</v>
      </c>
      <c r="G268" s="21" t="s">
        <v>923</v>
      </c>
      <c r="H268" s="20" t="s">
        <v>924</v>
      </c>
      <c r="I268" s="10" t="s">
        <v>21</v>
      </c>
      <c r="J268" s="12" t="s">
        <v>22</v>
      </c>
      <c r="K268" s="15" t="str">
        <f>_xlfn.DISPIMG("ID_9EA38F05EC9A461993AE18D4638486C7",1)</f>
        <v>=DISPIMG("ID_9EA38F05EC9A461993AE18D4638486C7",1)</v>
      </c>
      <c r="L268" s="11" t="str">
        <f>_xlfn.DISPIMG("ID_1DC22F15AE4C42A79C599BFCCE535302",1)</f>
        <v>=DISPIMG("ID_1DC22F15AE4C42A79C599BFCCE535302",1)</v>
      </c>
    </row>
    <row r="269" spans="2:2">
      <c r="B269" s="28"/>
    </row>
  </sheetData>
  <autoFilter ref="A1:L269">
    <extLst/>
  </autoFilter>
  <mergeCells count="13">
    <mergeCell ref="A1:L1"/>
    <mergeCell ref="A2:L2"/>
    <mergeCell ref="D3:E3"/>
    <mergeCell ref="A3:A4"/>
    <mergeCell ref="B3:B4"/>
    <mergeCell ref="C3:C4"/>
    <mergeCell ref="F3:F4"/>
    <mergeCell ref="G3:G4"/>
    <mergeCell ref="H3:H4"/>
    <mergeCell ref="I3:I4"/>
    <mergeCell ref="J3:J4"/>
    <mergeCell ref="K3:K4"/>
    <mergeCell ref="L3:L4"/>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Company>ITSK.com</Company>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SkyUser</dc:creator>
  <cp:lastModifiedBy>喵啊喵~</cp:lastModifiedBy>
  <dcterms:created xsi:type="dcterms:W3CDTF">2021-05-11T16:08:00Z</dcterms:created>
  <dcterms:modified xsi:type="dcterms:W3CDTF">2021-09-14T03:41:06Z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B3258DE1115F4CB3B816C737F3DA1801</vt:lpwstr>
  </property>
  <property fmtid="{D5CDD505-2E9C-101B-9397-08002B2CF9AE}" pid="3" name="KSOProductBuildVer">
    <vt:lpwstr>2052-11.1.0.10314</vt:lpwstr>
  </property>
</Properties>
</file>